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0.xml" ContentType="application/vnd.openxmlformats-officedocument.spreadsheetml.worksheet+xml"/>
  <Override PartName="/xl/chartsheets/sheet5.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2.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1.xml" ContentType="application/vnd.openxmlformats-officedocument.drawing+xml"/>
  <Override PartName="/xl/charts/chart2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8.xml" ContentType="application/vnd.ms-office.chartstyle+xml"/>
  <Override PartName="/xl/charts/colors8.xml" ContentType="application/vnd.ms-office.chartcolorstyle+xml"/>
  <Override PartName="/xl/comments2.xml" ContentType="application/vnd.openxmlformats-officedocument.spreadsheetml.comments+xml"/>
  <Override PartName="/xl/drawings/drawing14.xml" ContentType="application/vnd.openxmlformats-officedocument.drawing+xml"/>
  <Override PartName="/xl/charts/chart24.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5.xml" ContentType="application/vnd.openxmlformats-officedocument.spreadsheetml.pivotTable+xml"/>
  <Override PartName="/xl/drawings/drawing1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ssetMgtUnit\BUSINESS_Section\VolumeValue\"/>
    </mc:Choice>
  </mc:AlternateContent>
  <bookViews>
    <workbookView xWindow="0" yWindow="0" windowWidth="20160" windowHeight="9612"/>
  </bookViews>
  <sheets>
    <sheet name="Index &amp; Instructions" sheetId="49" r:id="rId1"/>
    <sheet name="TAB1.0 Accomplshmnt by District" sheetId="4" r:id="rId2"/>
    <sheet name="1.1_Annual Harv by FUND" sheetId="1" r:id="rId3"/>
    <sheet name="1.2 Pivots &amp; Graphs" sheetId="44" r:id="rId4"/>
    <sheet name="1.3 Harvest Volume Graph" sheetId="3" r:id="rId5"/>
    <sheet name="1.4_Value Removed Graph" sheetId="9" r:id="rId6"/>
    <sheet name="1.5_CSL_VolVal" sheetId="11" r:id="rId7"/>
    <sheet name="1.6_CSL Elliott VolVal_Charts" sheetId="14" r:id="rId8"/>
    <sheet name="1.7_District Pivots" sheetId="21" r:id="rId9"/>
    <sheet name="TAB2.0 Accomplishment Graphs" sheetId="28" r:id="rId10"/>
    <sheet name="2.1 PIVOT" sheetId="46" r:id="rId11"/>
    <sheet name="2.2_GRAPH_STWIDE BOF" sheetId="40" r:id="rId12"/>
    <sheet name="2.3_GRAPH_STWIDE CSL" sheetId="41" r:id="rId13"/>
    <sheet name="TAB3.0 VOL Historical by County" sheetId="5" r:id="rId14"/>
    <sheet name="3.1_NWOA Cnty Graph" sheetId="17" r:id="rId15"/>
    <sheet name="3.2_STATE FOREST HARV Piv Tbl" sheetId="18" r:id="rId16"/>
    <sheet name="TAB4.0 VolVal Hist_ByCounty" sheetId="29" r:id="rId17"/>
    <sheet name="BiBudgetFTE" sheetId="23" r:id="rId18"/>
    <sheet name="TRAS_Codes" sheetId="13" r:id="rId19"/>
  </sheets>
  <definedNames>
    <definedName name="_xlnm._FilterDatabase" localSheetId="1" hidden="1">'TAB1.0 Accomplshmnt by District'!$A$1:$O$241</definedName>
    <definedName name="_xlnm._FilterDatabase" localSheetId="13" hidden="1">'TAB3.0 VOL Historical by County'!$A$2:$BW$37</definedName>
    <definedName name="_xlnm._FilterDatabase" localSheetId="16" hidden="1">'TAB4.0 VolVal Hist_ByCounty'!$A$1:$I$360</definedName>
    <definedName name="Admingf">#REF!</definedName>
    <definedName name="Adminof">#REF!</definedName>
    <definedName name="Appropriation">#REF!</definedName>
    <definedName name="CapConof">#REF!</definedName>
    <definedName name="CapImpgf">#REF!</definedName>
    <definedName name="CapImpof">#REF!</definedName>
    <definedName name="Debtgf">#REF!</definedName>
    <definedName name="Debtof">#REF!</definedName>
    <definedName name="EFCC">#REF!</definedName>
    <definedName name="Fagf">#REF!</definedName>
    <definedName name="FDFof">#REF!</definedName>
    <definedName name="FedFd">#REF!</definedName>
    <definedName name="Fire">#REF!</definedName>
    <definedName name="NatResgf">#REF!</definedName>
    <definedName name="NatResof">#REF!</definedName>
    <definedName name="Number">#REF!</definedName>
    <definedName name="Nursery">#REF!</definedName>
    <definedName name="Practgf">#REF!</definedName>
    <definedName name="Practof">#REF!</definedName>
    <definedName name="_xlnm.Print_Area" localSheetId="6">'1.5_CSL_VolVal'!$A$1:$K$47</definedName>
    <definedName name="_xlnm.Print_Area" localSheetId="8">'1.7_District Pivots'!$A$1:$R$36</definedName>
    <definedName name="_xlnm.Print_Area" localSheetId="0">'Index &amp; Instructions'!$B$3:$D$21</definedName>
    <definedName name="_xlnm.Print_Area" localSheetId="1">'TAB1.0 Accomplshmnt by District'!$A$243:$N$280,'TAB1.0 Accomplshmnt by District'!$A$192:$N$221</definedName>
    <definedName name="_xlnm.Print_Area" localSheetId="9">'TAB2.0 Accomplishment Graphs'!$A$1:$O$295</definedName>
    <definedName name="_xlnm.Print_Area" localSheetId="13">'TAB3.0 VOL Historical by County'!$F$3:$BT$37</definedName>
    <definedName name="_xlnm.Print_Area" localSheetId="16">'TAB4.0 VolVal Hist_ByCounty'!$A$1:$H$257</definedName>
    <definedName name="_xlnm.Print_Titles" localSheetId="1">'TAB1.0 Accomplshmnt by District'!$1:$1</definedName>
    <definedName name="_xlnm.Print_Titles" localSheetId="13">'TAB3.0 VOL Historical by County'!$B:$F,'TAB3.0 VOL Historical by County'!$2:$2</definedName>
    <definedName name="_xlnm.Print_Titles" localSheetId="16">'TAB4.0 VolVal Hist_ByCounty'!$1:$1</definedName>
    <definedName name="PubShar">#REF!</definedName>
    <definedName name="Tax">#REF!</definedName>
    <definedName name="Total">#REF!</definedName>
  </definedNames>
  <calcPr calcId="152511"/>
  <pivotCaches>
    <pivotCache cacheId="0" r:id="rId20"/>
    <pivotCache cacheId="1" r:id="rId21"/>
    <pivotCache cacheId="2" r:id="rId22"/>
  </pivotCaches>
</workbook>
</file>

<file path=xl/calcChain.xml><?xml version="1.0" encoding="utf-8"?>
<calcChain xmlns="http://schemas.openxmlformats.org/spreadsheetml/2006/main">
  <c r="I378" i="29" l="1"/>
  <c r="J378" i="29"/>
  <c r="K378" i="29"/>
  <c r="L378" i="29"/>
  <c r="M378" i="29"/>
  <c r="N378" i="29"/>
  <c r="N19" i="29"/>
  <c r="M19" i="29"/>
  <c r="L19" i="29"/>
  <c r="K19" i="29"/>
  <c r="J19" i="29"/>
  <c r="I19" i="29"/>
  <c r="M37" i="29"/>
  <c r="J71" i="29"/>
  <c r="I122" i="29"/>
  <c r="N122" i="29"/>
  <c r="M122" i="29"/>
  <c r="L122" i="29"/>
  <c r="K122" i="29"/>
  <c r="J122" i="29"/>
  <c r="I123" i="29"/>
  <c r="J123" i="29"/>
  <c r="K123" i="29"/>
  <c r="L123" i="29"/>
  <c r="M123" i="29"/>
  <c r="N123" i="29"/>
  <c r="I124" i="29"/>
  <c r="J124" i="29"/>
  <c r="K124" i="29"/>
  <c r="L124" i="29"/>
  <c r="M124" i="29"/>
  <c r="N124" i="29"/>
  <c r="I125" i="29"/>
  <c r="J125" i="29"/>
  <c r="K125" i="29"/>
  <c r="L125" i="29"/>
  <c r="M125" i="29"/>
  <c r="N125" i="29"/>
  <c r="I126" i="29"/>
  <c r="J126" i="29"/>
  <c r="K126" i="29"/>
  <c r="L126" i="29"/>
  <c r="M126" i="29"/>
  <c r="N126" i="29"/>
  <c r="I127" i="29"/>
  <c r="J127" i="29"/>
  <c r="K127" i="29"/>
  <c r="L127" i="29"/>
  <c r="M127" i="29"/>
  <c r="N127" i="29"/>
  <c r="I128" i="29"/>
  <c r="J128" i="29"/>
  <c r="K128" i="29"/>
  <c r="L128" i="29"/>
  <c r="M128" i="29"/>
  <c r="N128" i="29"/>
  <c r="I129" i="29"/>
  <c r="J129" i="29"/>
  <c r="K129" i="29"/>
  <c r="L129" i="29"/>
  <c r="M129" i="29"/>
  <c r="N129" i="29"/>
  <c r="I130" i="29"/>
  <c r="J130" i="29"/>
  <c r="K130" i="29"/>
  <c r="L130" i="29"/>
  <c r="M130" i="29"/>
  <c r="N130" i="29"/>
  <c r="I131" i="29"/>
  <c r="J131" i="29"/>
  <c r="K131" i="29"/>
  <c r="L131" i="29"/>
  <c r="M131" i="29"/>
  <c r="N131" i="29"/>
  <c r="I132" i="29"/>
  <c r="J132" i="29"/>
  <c r="K132" i="29"/>
  <c r="L132" i="29"/>
  <c r="M132" i="29"/>
  <c r="N132" i="29"/>
  <c r="I133" i="29"/>
  <c r="J133" i="29"/>
  <c r="K133" i="29"/>
  <c r="L133" i="29"/>
  <c r="M133" i="29"/>
  <c r="N133" i="29"/>
  <c r="I134" i="29"/>
  <c r="J134" i="29"/>
  <c r="K134" i="29"/>
  <c r="L134" i="29"/>
  <c r="M134" i="29"/>
  <c r="N134" i="29"/>
  <c r="I135" i="29"/>
  <c r="J135" i="29"/>
  <c r="K135" i="29"/>
  <c r="L135" i="29"/>
  <c r="M135" i="29"/>
  <c r="N135" i="29"/>
  <c r="I136" i="29"/>
  <c r="J136" i="29"/>
  <c r="K136" i="29"/>
  <c r="L136" i="29"/>
  <c r="M136" i="29"/>
  <c r="N136" i="29"/>
  <c r="I137" i="29"/>
  <c r="J137" i="29"/>
  <c r="K137" i="29"/>
  <c r="L137" i="29"/>
  <c r="M137" i="29"/>
  <c r="N137" i="29"/>
  <c r="I138" i="29"/>
  <c r="J138" i="29"/>
  <c r="K138" i="29"/>
  <c r="L138" i="29"/>
  <c r="M138" i="29"/>
  <c r="N138" i="29"/>
  <c r="H8" i="29"/>
  <c r="E8" i="29"/>
  <c r="G7" i="29"/>
  <c r="H7" i="29" s="1"/>
  <c r="F7" i="29"/>
  <c r="D7" i="29"/>
  <c r="C7" i="29"/>
  <c r="G17" i="29"/>
  <c r="F17" i="29"/>
  <c r="D17" i="29"/>
  <c r="E17" i="29" s="1"/>
  <c r="C17" i="29"/>
  <c r="G18" i="29"/>
  <c r="F18" i="29"/>
  <c r="D18" i="29"/>
  <c r="C18" i="29"/>
  <c r="G4" i="29"/>
  <c r="F4" i="29"/>
  <c r="H4" i="29" s="1"/>
  <c r="D4" i="29"/>
  <c r="C4" i="29"/>
  <c r="E14" i="29"/>
  <c r="H35" i="29"/>
  <c r="E35" i="29"/>
  <c r="G34" i="29"/>
  <c r="F34" i="29"/>
  <c r="D34" i="29"/>
  <c r="C34" i="29"/>
  <c r="G36" i="29"/>
  <c r="F36" i="29"/>
  <c r="H36" i="29" s="1"/>
  <c r="D36" i="29"/>
  <c r="C36" i="29"/>
  <c r="E23" i="29"/>
  <c r="G22" i="29"/>
  <c r="F22" i="29"/>
  <c r="D22" i="29"/>
  <c r="C22" i="29"/>
  <c r="E32" i="29"/>
  <c r="C19" i="29"/>
  <c r="H18" i="29"/>
  <c r="E18" i="29"/>
  <c r="H17" i="29"/>
  <c r="H16" i="29"/>
  <c r="E16" i="29"/>
  <c r="H15" i="29"/>
  <c r="E15" i="29"/>
  <c r="H14" i="29"/>
  <c r="H13" i="29"/>
  <c r="E13" i="29"/>
  <c r="H12" i="29"/>
  <c r="E12" i="29"/>
  <c r="H11" i="29"/>
  <c r="E11" i="29"/>
  <c r="H10" i="29"/>
  <c r="E10" i="29"/>
  <c r="H9" i="29"/>
  <c r="E9" i="29"/>
  <c r="E7" i="29"/>
  <c r="H6" i="29"/>
  <c r="E6" i="29"/>
  <c r="H5" i="29"/>
  <c r="E5" i="29"/>
  <c r="E4" i="29"/>
  <c r="H3" i="29"/>
  <c r="E3" i="29"/>
  <c r="H2" i="29"/>
  <c r="E2" i="29"/>
  <c r="E39" i="29"/>
  <c r="C52" i="29"/>
  <c r="E52" i="29" s="1"/>
  <c r="G43" i="29"/>
  <c r="D43" i="29"/>
  <c r="F43" i="29"/>
  <c r="C43" i="29"/>
  <c r="E43" i="29" s="1"/>
  <c r="G52" i="29"/>
  <c r="F52" i="29"/>
  <c r="D52" i="29"/>
  <c r="G53" i="29"/>
  <c r="F53" i="29"/>
  <c r="H53" i="29" s="1"/>
  <c r="D53" i="29"/>
  <c r="C53" i="29"/>
  <c r="H52" i="29"/>
  <c r="E41" i="29"/>
  <c r="G40" i="29"/>
  <c r="F40" i="29"/>
  <c r="D40" i="29"/>
  <c r="C40" i="29"/>
  <c r="G60" i="29"/>
  <c r="F60" i="29"/>
  <c r="H60" i="29" s="1"/>
  <c r="D60" i="29"/>
  <c r="D71" i="29" s="1"/>
  <c r="C60" i="29"/>
  <c r="G70" i="29"/>
  <c r="F70" i="29"/>
  <c r="H70" i="29" s="1"/>
  <c r="D70" i="29"/>
  <c r="C70" i="29"/>
  <c r="E70" i="29" s="1"/>
  <c r="G69" i="29"/>
  <c r="F69" i="29"/>
  <c r="D69" i="29"/>
  <c r="C69" i="29"/>
  <c r="G57" i="29"/>
  <c r="F57" i="29"/>
  <c r="D57" i="29"/>
  <c r="C57" i="29"/>
  <c r="C74" i="29"/>
  <c r="G77" i="29"/>
  <c r="H77" i="29" s="1"/>
  <c r="F77" i="29"/>
  <c r="D77" i="29"/>
  <c r="C77" i="29"/>
  <c r="G87" i="29"/>
  <c r="F87" i="29"/>
  <c r="D87" i="29"/>
  <c r="C87" i="29"/>
  <c r="E87" i="29" s="1"/>
  <c r="G86" i="29"/>
  <c r="F86" i="29"/>
  <c r="D86" i="29"/>
  <c r="C86" i="29"/>
  <c r="G74" i="29"/>
  <c r="F74" i="29"/>
  <c r="D74" i="29"/>
  <c r="E81" i="29"/>
  <c r="E73" i="29"/>
  <c r="G94" i="29"/>
  <c r="F94" i="29"/>
  <c r="H94" i="29" s="1"/>
  <c r="D94" i="29"/>
  <c r="C94" i="29"/>
  <c r="G104" i="29"/>
  <c r="F104" i="29"/>
  <c r="D104" i="29"/>
  <c r="E104" i="29" s="1"/>
  <c r="C104" i="29"/>
  <c r="G103" i="29"/>
  <c r="F103" i="29"/>
  <c r="H103" i="29" s="1"/>
  <c r="D103" i="29"/>
  <c r="C103" i="29"/>
  <c r="E103" i="29"/>
  <c r="G92" i="29"/>
  <c r="H92" i="29" s="1"/>
  <c r="F92" i="29"/>
  <c r="D92" i="29"/>
  <c r="C92" i="29"/>
  <c r="G91" i="29"/>
  <c r="F91" i="29"/>
  <c r="D91" i="29"/>
  <c r="C91" i="29"/>
  <c r="E91" i="29" s="1"/>
  <c r="G37" i="29"/>
  <c r="H34" i="29"/>
  <c r="H33" i="29"/>
  <c r="E33" i="29"/>
  <c r="H32" i="29"/>
  <c r="H31" i="29"/>
  <c r="E31" i="29"/>
  <c r="H30" i="29"/>
  <c r="E30" i="29"/>
  <c r="H29" i="29"/>
  <c r="E29" i="29"/>
  <c r="H28" i="29"/>
  <c r="H27" i="29"/>
  <c r="E27" i="29"/>
  <c r="H26" i="29"/>
  <c r="E26" i="29"/>
  <c r="H25" i="29"/>
  <c r="E25" i="29"/>
  <c r="H24" i="29"/>
  <c r="E24" i="29"/>
  <c r="H23" i="29"/>
  <c r="E22" i="29"/>
  <c r="H21" i="29"/>
  <c r="E21" i="29"/>
  <c r="H20" i="29"/>
  <c r="E20" i="29"/>
  <c r="H51" i="29"/>
  <c r="E51" i="29"/>
  <c r="H50" i="29"/>
  <c r="E50" i="29"/>
  <c r="H49" i="29"/>
  <c r="E49" i="29"/>
  <c r="H48" i="29"/>
  <c r="E48" i="29"/>
  <c r="H47" i="29"/>
  <c r="E47" i="29"/>
  <c r="H46" i="29"/>
  <c r="E46" i="29"/>
  <c r="H45" i="29"/>
  <c r="E45" i="29"/>
  <c r="H44" i="29"/>
  <c r="E44" i="29"/>
  <c r="H42" i="29"/>
  <c r="E42" i="29"/>
  <c r="H41" i="29"/>
  <c r="H40" i="29"/>
  <c r="H39" i="29"/>
  <c r="H38" i="29"/>
  <c r="E38" i="29"/>
  <c r="H68" i="29"/>
  <c r="E68" i="29"/>
  <c r="H67" i="29"/>
  <c r="E67" i="29"/>
  <c r="H66" i="29"/>
  <c r="E66" i="29"/>
  <c r="H65" i="29"/>
  <c r="E65" i="29"/>
  <c r="H64" i="29"/>
  <c r="E64" i="29"/>
  <c r="H63" i="29"/>
  <c r="E63" i="29"/>
  <c r="H62" i="29"/>
  <c r="E62" i="29"/>
  <c r="H61" i="29"/>
  <c r="E61" i="29"/>
  <c r="H59" i="29"/>
  <c r="E59" i="29"/>
  <c r="H58" i="29"/>
  <c r="E58" i="29"/>
  <c r="H56" i="29"/>
  <c r="E56" i="29"/>
  <c r="H55" i="29"/>
  <c r="E55" i="29"/>
  <c r="H87" i="29"/>
  <c r="H85" i="29"/>
  <c r="E85" i="29"/>
  <c r="H84" i="29"/>
  <c r="E84" i="29"/>
  <c r="H83" i="29"/>
  <c r="E83" i="29"/>
  <c r="H82" i="29"/>
  <c r="E82" i="29"/>
  <c r="H81" i="29"/>
  <c r="H80" i="29"/>
  <c r="E80" i="29"/>
  <c r="H79" i="29"/>
  <c r="E79" i="29"/>
  <c r="H78" i="29"/>
  <c r="E78" i="29"/>
  <c r="H76" i="29"/>
  <c r="E76" i="29"/>
  <c r="H75" i="29"/>
  <c r="E75" i="29"/>
  <c r="H73" i="29"/>
  <c r="H72" i="29"/>
  <c r="E72" i="29"/>
  <c r="H102" i="29"/>
  <c r="E102" i="29"/>
  <c r="H101" i="29"/>
  <c r="E101" i="29"/>
  <c r="H100" i="29"/>
  <c r="E100" i="29"/>
  <c r="H99" i="29"/>
  <c r="E99" i="29"/>
  <c r="H98" i="29"/>
  <c r="E98" i="29"/>
  <c r="H97" i="29"/>
  <c r="E97" i="29"/>
  <c r="H96" i="29"/>
  <c r="E96" i="29"/>
  <c r="H95" i="29"/>
  <c r="E95" i="29"/>
  <c r="E94" i="29"/>
  <c r="H93" i="29"/>
  <c r="E93" i="29"/>
  <c r="H90" i="29"/>
  <c r="E90" i="29"/>
  <c r="H89" i="29"/>
  <c r="E89" i="29"/>
  <c r="E112" i="29"/>
  <c r="G111" i="29"/>
  <c r="F111" i="29"/>
  <c r="D111" i="29"/>
  <c r="C111" i="29"/>
  <c r="G121" i="29"/>
  <c r="F121" i="29"/>
  <c r="D121" i="29"/>
  <c r="C121" i="29"/>
  <c r="E121" i="29" s="1"/>
  <c r="G120" i="29"/>
  <c r="H120" i="29" s="1"/>
  <c r="F120" i="29"/>
  <c r="D120" i="29"/>
  <c r="C120" i="29"/>
  <c r="G109" i="29"/>
  <c r="F109" i="29"/>
  <c r="D109" i="29"/>
  <c r="C109" i="29"/>
  <c r="E109" i="29" s="1"/>
  <c r="G108" i="29"/>
  <c r="F108" i="29"/>
  <c r="D108" i="29"/>
  <c r="C108" i="29"/>
  <c r="H119" i="29"/>
  <c r="E119" i="29"/>
  <c r="H118" i="29"/>
  <c r="E118" i="29"/>
  <c r="H117" i="29"/>
  <c r="E117" i="29"/>
  <c r="H116" i="29"/>
  <c r="E116" i="29"/>
  <c r="H115" i="29"/>
  <c r="E115" i="29"/>
  <c r="H114" i="29"/>
  <c r="E114" i="29"/>
  <c r="H113" i="29"/>
  <c r="E113" i="29"/>
  <c r="H112" i="29"/>
  <c r="H110" i="29"/>
  <c r="E110" i="29"/>
  <c r="H107" i="29"/>
  <c r="E107" i="29"/>
  <c r="H106" i="29"/>
  <c r="E106" i="29"/>
  <c r="G19" i="29" l="1"/>
  <c r="D19" i="29"/>
  <c r="E19" i="29" s="1"/>
  <c r="F19" i="29"/>
  <c r="E28" i="29"/>
  <c r="H104" i="29"/>
  <c r="D105" i="29"/>
  <c r="J105" i="29" s="1"/>
  <c r="E86" i="29"/>
  <c r="G88" i="29"/>
  <c r="E53" i="29"/>
  <c r="H111" i="29"/>
  <c r="F88" i="29"/>
  <c r="L88" i="29" s="1"/>
  <c r="E60" i="29"/>
  <c r="D37" i="29"/>
  <c r="J37" i="29" s="1"/>
  <c r="E34" i="29"/>
  <c r="C37" i="29"/>
  <c r="I37" i="29" s="1"/>
  <c r="E36" i="29"/>
  <c r="H22" i="29"/>
  <c r="F37" i="29"/>
  <c r="H43" i="29"/>
  <c r="D54" i="29"/>
  <c r="J54" i="29" s="1"/>
  <c r="F54" i="29"/>
  <c r="L54" i="29" s="1"/>
  <c r="G54" i="29"/>
  <c r="M54" i="29" s="1"/>
  <c r="C54" i="29"/>
  <c r="I54" i="29" s="1"/>
  <c r="E40" i="29"/>
  <c r="G71" i="29"/>
  <c r="M71" i="29" s="1"/>
  <c r="H57" i="29"/>
  <c r="F71" i="29"/>
  <c r="L71" i="29" s="1"/>
  <c r="H69" i="29"/>
  <c r="E69" i="29"/>
  <c r="E57" i="29"/>
  <c r="C71" i="29"/>
  <c r="E77" i="29"/>
  <c r="H86" i="29"/>
  <c r="D88" i="29"/>
  <c r="J88" i="29" s="1"/>
  <c r="H74" i="29"/>
  <c r="E74" i="29"/>
  <c r="C88" i="29"/>
  <c r="I88" i="29" s="1"/>
  <c r="G105" i="29"/>
  <c r="M105" i="29" s="1"/>
  <c r="F105" i="29"/>
  <c r="L105" i="29" s="1"/>
  <c r="E92" i="29"/>
  <c r="H91" i="29"/>
  <c r="C105" i="29"/>
  <c r="E111" i="29"/>
  <c r="H121" i="29"/>
  <c r="E120" i="29"/>
  <c r="G122" i="29"/>
  <c r="H109" i="29"/>
  <c r="D122" i="29"/>
  <c r="C122" i="29"/>
  <c r="E108" i="29"/>
  <c r="H108" i="29"/>
  <c r="F122" i="29"/>
  <c r="C241" i="4"/>
  <c r="E105" i="29" l="1"/>
  <c r="K105" i="29" s="1"/>
  <c r="I105" i="29"/>
  <c r="H88" i="29"/>
  <c r="N88" i="29" s="1"/>
  <c r="M88" i="29"/>
  <c r="E71" i="29"/>
  <c r="K71" i="29" s="1"/>
  <c r="I71" i="29"/>
  <c r="H37" i="29"/>
  <c r="N37" i="29" s="1"/>
  <c r="L37" i="29"/>
  <c r="H19" i="29"/>
  <c r="E37" i="29"/>
  <c r="K37" i="29" s="1"/>
  <c r="H54" i="29"/>
  <c r="N54" i="29" s="1"/>
  <c r="E54" i="29"/>
  <c r="K54" i="29" s="1"/>
  <c r="H71" i="29"/>
  <c r="N71" i="29" s="1"/>
  <c r="E88" i="29"/>
  <c r="K88" i="29" s="1"/>
  <c r="H105" i="29"/>
  <c r="N105" i="29" s="1"/>
  <c r="E122" i="29"/>
  <c r="H122" i="29"/>
  <c r="T32" i="23"/>
  <c r="S32" i="23"/>
  <c r="R32" i="23"/>
  <c r="S23" i="23"/>
  <c r="T23" i="23"/>
  <c r="Q23" i="23"/>
  <c r="BU40" i="5"/>
  <c r="BU41" i="5"/>
  <c r="BU42" i="5"/>
  <c r="BU28" i="5" l="1"/>
  <c r="BU27" i="5"/>
  <c r="BU25" i="5"/>
  <c r="BU22" i="5"/>
  <c r="BU21" i="5"/>
  <c r="BU19" i="5"/>
  <c r="BU12" i="5"/>
  <c r="BU8" i="5"/>
  <c r="BU6" i="5"/>
  <c r="Y264" i="4"/>
  <c r="Y263" i="4"/>
  <c r="Y262" i="4"/>
  <c r="Y261" i="4"/>
  <c r="Y260" i="4"/>
  <c r="Y259" i="4"/>
  <c r="Y258" i="4"/>
  <c r="Y257" i="4"/>
  <c r="Y256" i="4"/>
  <c r="Y255" i="4"/>
  <c r="Y254" i="4"/>
  <c r="Y253" i="4"/>
  <c r="Y252" i="4"/>
  <c r="Y251" i="4"/>
  <c r="Y250" i="4"/>
  <c r="Y249" i="4"/>
  <c r="Y248" i="4"/>
  <c r="Y247" i="4"/>
  <c r="Y246" i="4"/>
  <c r="Y245" i="4"/>
  <c r="I11" i="1" l="1"/>
  <c r="H11" i="1"/>
  <c r="I10" i="1"/>
  <c r="H10" i="1"/>
  <c r="I9" i="1"/>
  <c r="H9" i="1"/>
  <c r="I8" i="1"/>
  <c r="H8" i="1"/>
  <c r="I7" i="1"/>
  <c r="H7" i="1"/>
  <c r="I6" i="1"/>
  <c r="H6" i="1"/>
  <c r="I5" i="1"/>
  <c r="H5" i="1"/>
  <c r="I4" i="1"/>
  <c r="H4" i="1"/>
  <c r="I3" i="1"/>
  <c r="H3" i="1"/>
  <c r="F7" i="14"/>
  <c r="F6" i="14"/>
  <c r="F5" i="14"/>
  <c r="F18" i="11"/>
  <c r="U5" i="14" s="1"/>
  <c r="E18" i="11"/>
  <c r="C18" i="11"/>
  <c r="B33" i="14" s="1"/>
  <c r="B18" i="11"/>
  <c r="F17" i="11"/>
  <c r="T5" i="14" s="1"/>
  <c r="E17" i="11"/>
  <c r="C17" i="11"/>
  <c r="B17" i="11"/>
  <c r="F16" i="11"/>
  <c r="S5" i="14" s="1"/>
  <c r="E16" i="11"/>
  <c r="C16" i="11"/>
  <c r="S3" i="14" s="1"/>
  <c r="B16" i="11"/>
  <c r="F15" i="11"/>
  <c r="R5" i="14" s="1"/>
  <c r="E15" i="11"/>
  <c r="C15" i="11"/>
  <c r="C27" i="14" s="1"/>
  <c r="B15" i="11"/>
  <c r="F14" i="11"/>
  <c r="Q5" i="14" s="1"/>
  <c r="E14" i="11"/>
  <c r="C14" i="11"/>
  <c r="B14" i="11"/>
  <c r="F13" i="11"/>
  <c r="P5" i="14" s="1"/>
  <c r="E13" i="11"/>
  <c r="C13" i="11"/>
  <c r="B13" i="11"/>
  <c r="F12" i="11"/>
  <c r="O5" i="14" s="1"/>
  <c r="E12" i="11"/>
  <c r="C12" i="11"/>
  <c r="B12" i="11"/>
  <c r="F11" i="11"/>
  <c r="N5" i="14" s="1"/>
  <c r="E11" i="11"/>
  <c r="C11" i="11"/>
  <c r="C19" i="14" s="1"/>
  <c r="B11" i="11"/>
  <c r="F10" i="11"/>
  <c r="M5" i="14" s="1"/>
  <c r="E10" i="11"/>
  <c r="C10" i="11"/>
  <c r="B17" i="14" s="1"/>
  <c r="B10" i="11"/>
  <c r="F9" i="11"/>
  <c r="L5" i="14" s="1"/>
  <c r="E9" i="11"/>
  <c r="C9" i="11"/>
  <c r="B15" i="14" s="1"/>
  <c r="B9" i="11"/>
  <c r="F8" i="11"/>
  <c r="K5" i="14" s="1"/>
  <c r="E8" i="11"/>
  <c r="C8" i="11"/>
  <c r="B8" i="11"/>
  <c r="F7" i="11"/>
  <c r="J5" i="14" s="1"/>
  <c r="E7" i="11"/>
  <c r="C7" i="11"/>
  <c r="B11" i="14" s="1"/>
  <c r="B7" i="11"/>
  <c r="F6" i="11"/>
  <c r="I5" i="14" s="1"/>
  <c r="E6" i="11"/>
  <c r="C6" i="11"/>
  <c r="B9" i="14" s="1"/>
  <c r="B6" i="11"/>
  <c r="F5" i="11"/>
  <c r="H5" i="14" s="1"/>
  <c r="E5" i="11"/>
  <c r="C5" i="11"/>
  <c r="H3" i="14" s="1"/>
  <c r="B5" i="11"/>
  <c r="F4" i="11"/>
  <c r="G5" i="14" s="1"/>
  <c r="E4" i="11"/>
  <c r="C4" i="11"/>
  <c r="B4" i="11"/>
  <c r="F3" i="11"/>
  <c r="E3" i="11"/>
  <c r="C3" i="11"/>
  <c r="B3" i="14" s="1"/>
  <c r="F3" i="14" s="1"/>
  <c r="B3" i="11"/>
  <c r="R23" i="23"/>
  <c r="P23" i="23"/>
  <c r="O23" i="23"/>
  <c r="N23" i="23"/>
  <c r="M23" i="23"/>
  <c r="L23" i="23"/>
  <c r="K23" i="23"/>
  <c r="J23" i="23"/>
  <c r="T17" i="23"/>
  <c r="S17" i="23"/>
  <c r="Q17" i="23"/>
  <c r="P17" i="23"/>
  <c r="O17" i="23"/>
  <c r="N17" i="23"/>
  <c r="M17" i="23"/>
  <c r="K17" i="23"/>
  <c r="J17" i="23"/>
  <c r="I17" i="23"/>
  <c r="H17" i="23"/>
  <c r="G17" i="23"/>
  <c r="F17" i="23"/>
  <c r="R15" i="23"/>
  <c r="R17" i="23" s="1"/>
  <c r="L15" i="23"/>
  <c r="L17" i="23" s="1"/>
  <c r="I9" i="23"/>
  <c r="H9" i="23"/>
  <c r="G9" i="23"/>
  <c r="F9" i="23"/>
  <c r="Q7" i="23"/>
  <c r="P7" i="23"/>
  <c r="O7" i="23"/>
  <c r="N7" i="23"/>
  <c r="M7" i="23"/>
  <c r="L7" i="23"/>
  <c r="K7" i="23"/>
  <c r="J7" i="23"/>
  <c r="I7" i="23"/>
  <c r="H7" i="23"/>
  <c r="E7" i="23"/>
  <c r="D7" i="23"/>
  <c r="C7" i="23"/>
  <c r="R5" i="23"/>
  <c r="R7" i="23" s="1"/>
  <c r="G5" i="23"/>
  <c r="G7" i="23" s="1"/>
  <c r="F5" i="23"/>
  <c r="F7" i="23" s="1"/>
  <c r="G378" i="29"/>
  <c r="F378" i="29"/>
  <c r="D378" i="29"/>
  <c r="C378" i="29"/>
  <c r="H377" i="29"/>
  <c r="E377" i="29"/>
  <c r="H376" i="29"/>
  <c r="E376" i="29"/>
  <c r="H375" i="29"/>
  <c r="E375" i="29"/>
  <c r="H374" i="29"/>
  <c r="E374" i="29"/>
  <c r="H373" i="29"/>
  <c r="E373" i="29"/>
  <c r="H372" i="29"/>
  <c r="E372" i="29"/>
  <c r="H371" i="29"/>
  <c r="E371" i="29"/>
  <c r="H370" i="29"/>
  <c r="E370" i="29"/>
  <c r="H369" i="29"/>
  <c r="E369" i="29"/>
  <c r="H368" i="29"/>
  <c r="E368" i="29"/>
  <c r="H367" i="29"/>
  <c r="E367" i="29"/>
  <c r="H366" i="29"/>
  <c r="E366" i="29"/>
  <c r="H365" i="29"/>
  <c r="E365" i="29"/>
  <c r="H364" i="29"/>
  <c r="E364" i="29"/>
  <c r="H363" i="29"/>
  <c r="E363" i="29"/>
  <c r="H362" i="29"/>
  <c r="E362" i="29"/>
  <c r="H361" i="29"/>
  <c r="E361" i="29"/>
  <c r="G360" i="29"/>
  <c r="C360" i="29"/>
  <c r="H359" i="29"/>
  <c r="F359" i="29"/>
  <c r="E359" i="29"/>
  <c r="F358" i="29"/>
  <c r="H358" i="29" s="1"/>
  <c r="E358" i="29"/>
  <c r="H357" i="29"/>
  <c r="E357" i="29"/>
  <c r="H356" i="29"/>
  <c r="E356" i="29"/>
  <c r="H355" i="29"/>
  <c r="E355" i="29"/>
  <c r="H354" i="29"/>
  <c r="E354" i="29"/>
  <c r="H353" i="29"/>
  <c r="E353" i="29"/>
  <c r="H352" i="29"/>
  <c r="E352" i="29"/>
  <c r="H351" i="29"/>
  <c r="E351" i="29"/>
  <c r="H350" i="29"/>
  <c r="E350" i="29"/>
  <c r="G349" i="29"/>
  <c r="H349" i="29" s="1"/>
  <c r="E349" i="29"/>
  <c r="D349" i="29"/>
  <c r="D360" i="29" s="1"/>
  <c r="H348" i="29"/>
  <c r="E348" i="29"/>
  <c r="H347" i="29"/>
  <c r="E347" i="29"/>
  <c r="H346" i="29"/>
  <c r="E346" i="29"/>
  <c r="H345" i="29"/>
  <c r="F345" i="29"/>
  <c r="F360" i="29" s="1"/>
  <c r="H360" i="29" s="1"/>
  <c r="E345" i="29"/>
  <c r="H344" i="29"/>
  <c r="E344" i="29"/>
  <c r="H343" i="29"/>
  <c r="E343" i="29"/>
  <c r="D342" i="29"/>
  <c r="C342" i="29"/>
  <c r="F341" i="29"/>
  <c r="F342" i="29" s="1"/>
  <c r="H342" i="29" s="1"/>
  <c r="E341" i="29"/>
  <c r="F340" i="29"/>
  <c r="H340" i="29" s="1"/>
  <c r="E340" i="29"/>
  <c r="H339" i="29"/>
  <c r="E339" i="29"/>
  <c r="H338" i="29"/>
  <c r="E338" i="29"/>
  <c r="H337" i="29"/>
  <c r="E337" i="29"/>
  <c r="H336" i="29"/>
  <c r="E336" i="29"/>
  <c r="F335" i="29"/>
  <c r="H335" i="29" s="1"/>
  <c r="E335" i="29"/>
  <c r="H334" i="29"/>
  <c r="F334" i="29"/>
  <c r="E334" i="29"/>
  <c r="H333" i="29"/>
  <c r="E333" i="29"/>
  <c r="H332" i="29"/>
  <c r="E332" i="29"/>
  <c r="G331" i="29"/>
  <c r="G342" i="29" s="1"/>
  <c r="E331" i="29"/>
  <c r="H330" i="29"/>
  <c r="E330" i="29"/>
  <c r="H329" i="29"/>
  <c r="E329" i="29"/>
  <c r="H328" i="29"/>
  <c r="E328" i="29"/>
  <c r="H327" i="29"/>
  <c r="E327" i="29"/>
  <c r="H326" i="29"/>
  <c r="E326" i="29"/>
  <c r="H325" i="29"/>
  <c r="E325" i="29"/>
  <c r="G324" i="29"/>
  <c r="F324" i="29"/>
  <c r="H323" i="29"/>
  <c r="E323" i="29"/>
  <c r="C323" i="29"/>
  <c r="H322" i="29"/>
  <c r="C322" i="29"/>
  <c r="E322" i="29" s="1"/>
  <c r="H321" i="29"/>
  <c r="E321" i="29"/>
  <c r="H320" i="29"/>
  <c r="E320" i="29"/>
  <c r="H319" i="29"/>
  <c r="E319" i="29"/>
  <c r="H318" i="29"/>
  <c r="E318" i="29"/>
  <c r="H317" i="29"/>
  <c r="E317" i="29"/>
  <c r="H316" i="29"/>
  <c r="E316" i="29"/>
  <c r="D316" i="29"/>
  <c r="H315" i="29"/>
  <c r="E315" i="29"/>
  <c r="H314" i="29"/>
  <c r="E314" i="29"/>
  <c r="H313" i="29"/>
  <c r="D313" i="29"/>
  <c r="D324" i="29" s="1"/>
  <c r="C313" i="29"/>
  <c r="H312" i="29"/>
  <c r="E312" i="29"/>
  <c r="H311" i="29"/>
  <c r="E311" i="29"/>
  <c r="H310" i="29"/>
  <c r="E310" i="29"/>
  <c r="H309" i="29"/>
  <c r="C309" i="29"/>
  <c r="C324" i="29" s="1"/>
  <c r="H308" i="29"/>
  <c r="E308" i="29"/>
  <c r="H307" i="29"/>
  <c r="E307" i="29"/>
  <c r="G306" i="29"/>
  <c r="F306" i="29"/>
  <c r="D306" i="29"/>
  <c r="C306" i="29"/>
  <c r="H305" i="29"/>
  <c r="E305" i="29"/>
  <c r="H304" i="29"/>
  <c r="E304" i="29"/>
  <c r="H303" i="29"/>
  <c r="E303" i="29"/>
  <c r="H302" i="29"/>
  <c r="E302" i="29"/>
  <c r="H301" i="29"/>
  <c r="E301" i="29"/>
  <c r="H300" i="29"/>
  <c r="E300" i="29"/>
  <c r="H299" i="29"/>
  <c r="E299" i="29"/>
  <c r="H298" i="29"/>
  <c r="E298" i="29"/>
  <c r="H297" i="29"/>
  <c r="E297" i="29"/>
  <c r="H296" i="29"/>
  <c r="E296" i="29"/>
  <c r="H295" i="29"/>
  <c r="E295" i="29"/>
  <c r="H294" i="29"/>
  <c r="E294" i="29"/>
  <c r="H293" i="29"/>
  <c r="E293" i="29"/>
  <c r="H292" i="29"/>
  <c r="E292" i="29"/>
  <c r="H291" i="29"/>
  <c r="E291" i="29"/>
  <c r="A291" i="29"/>
  <c r="A292" i="29" s="1"/>
  <c r="A293" i="29" s="1"/>
  <c r="A294" i="29" s="1"/>
  <c r="A295" i="29" s="1"/>
  <c r="A296" i="29" s="1"/>
  <c r="A297" i="29" s="1"/>
  <c r="A298" i="29" s="1"/>
  <c r="A299" i="29" s="1"/>
  <c r="A300" i="29" s="1"/>
  <c r="A301" i="29" s="1"/>
  <c r="A302" i="29" s="1"/>
  <c r="A303" i="29" s="1"/>
  <c r="A305" i="29" s="1"/>
  <c r="H290" i="29"/>
  <c r="E290" i="29"/>
  <c r="D289" i="29"/>
  <c r="H288" i="29"/>
  <c r="E288" i="29"/>
  <c r="G287" i="29"/>
  <c r="G289" i="29" s="1"/>
  <c r="F287" i="29"/>
  <c r="D287" i="29"/>
  <c r="C287" i="29"/>
  <c r="C289" i="29" s="1"/>
  <c r="H286" i="29"/>
  <c r="E286" i="29"/>
  <c r="H285" i="29"/>
  <c r="E285" i="29"/>
  <c r="H284" i="29"/>
  <c r="E284" i="29"/>
  <c r="H283" i="29"/>
  <c r="E283" i="29"/>
  <c r="H282" i="29"/>
  <c r="E282" i="29"/>
  <c r="H281" i="29"/>
  <c r="E281" i="29"/>
  <c r="H280" i="29"/>
  <c r="E280" i="29"/>
  <c r="F279" i="29"/>
  <c r="H279" i="29" s="1"/>
  <c r="C279" i="29"/>
  <c r="E279" i="29" s="1"/>
  <c r="H278" i="29"/>
  <c r="E278" i="29"/>
  <c r="H277" i="29"/>
  <c r="E277" i="29"/>
  <c r="F276" i="29"/>
  <c r="F289" i="29" s="1"/>
  <c r="H289" i="29" s="1"/>
  <c r="C276" i="29"/>
  <c r="E276" i="29" s="1"/>
  <c r="A276" i="29"/>
  <c r="A277" i="29" s="1"/>
  <c r="A278" i="29" s="1"/>
  <c r="A279" i="29" s="1"/>
  <c r="A280" i="29" s="1"/>
  <c r="A281" i="29" s="1"/>
  <c r="A282" i="29" s="1"/>
  <c r="A283" i="29" s="1"/>
  <c r="A284" i="29" s="1"/>
  <c r="A285" i="29" s="1"/>
  <c r="A286" i="29" s="1"/>
  <c r="A287" i="29" s="1"/>
  <c r="A288" i="29" s="1"/>
  <c r="H275" i="29"/>
  <c r="E275" i="29"/>
  <c r="A275" i="29"/>
  <c r="H274" i="29"/>
  <c r="E274" i="29"/>
  <c r="G273" i="29"/>
  <c r="D273" i="29"/>
  <c r="C273" i="29"/>
  <c r="E273" i="29" s="1"/>
  <c r="H272" i="29"/>
  <c r="E272" i="29"/>
  <c r="F271" i="29"/>
  <c r="H271" i="29" s="1"/>
  <c r="C271" i="29"/>
  <c r="E271" i="29" s="1"/>
  <c r="H270" i="29"/>
  <c r="E270" i="29"/>
  <c r="H269" i="29"/>
  <c r="E269" i="29"/>
  <c r="H268" i="29"/>
  <c r="E268" i="29"/>
  <c r="H267" i="29"/>
  <c r="E267" i="29"/>
  <c r="H266" i="29"/>
  <c r="E266" i="29"/>
  <c r="H265" i="29"/>
  <c r="E265" i="29"/>
  <c r="H264" i="29"/>
  <c r="E264" i="29"/>
  <c r="H263" i="29"/>
  <c r="E263" i="29"/>
  <c r="H262" i="29"/>
  <c r="E262" i="29"/>
  <c r="H261" i="29"/>
  <c r="E261" i="29"/>
  <c r="F260" i="29"/>
  <c r="H260" i="29" s="1"/>
  <c r="C260" i="29"/>
  <c r="E260" i="29" s="1"/>
  <c r="H259" i="29"/>
  <c r="E259" i="29"/>
  <c r="H258" i="29"/>
  <c r="E258" i="29"/>
  <c r="G257" i="29"/>
  <c r="C257" i="29"/>
  <c r="H256" i="29"/>
  <c r="E256" i="29"/>
  <c r="G255" i="29"/>
  <c r="F255" i="29"/>
  <c r="H255" i="29" s="1"/>
  <c r="C255" i="29"/>
  <c r="E255" i="29" s="1"/>
  <c r="H254" i="29"/>
  <c r="E254" i="29"/>
  <c r="H253" i="29"/>
  <c r="E253" i="29"/>
  <c r="H252" i="29"/>
  <c r="E252" i="29"/>
  <c r="H251" i="29"/>
  <c r="E251" i="29"/>
  <c r="H250" i="29"/>
  <c r="E250" i="29"/>
  <c r="H249" i="29"/>
  <c r="E249" i="29"/>
  <c r="H248" i="29"/>
  <c r="E248" i="29"/>
  <c r="H247" i="29"/>
  <c r="E247" i="29"/>
  <c r="H246" i="29"/>
  <c r="E246" i="29"/>
  <c r="H245" i="29"/>
  <c r="F245" i="29"/>
  <c r="C245" i="29"/>
  <c r="E245" i="29" s="1"/>
  <c r="H244" i="29"/>
  <c r="E244" i="29"/>
  <c r="H243" i="29"/>
  <c r="E243" i="29"/>
  <c r="H242" i="29"/>
  <c r="F242" i="29"/>
  <c r="F257" i="29" s="1"/>
  <c r="D242" i="29"/>
  <c r="E242" i="29" s="1"/>
  <c r="C242" i="29"/>
  <c r="H241" i="29"/>
  <c r="E241" i="29"/>
  <c r="H240" i="29"/>
  <c r="E240" i="29"/>
  <c r="G239" i="29"/>
  <c r="F239" i="29"/>
  <c r="E239" i="29"/>
  <c r="D239" i="29"/>
  <c r="C239" i="29"/>
  <c r="H238" i="29"/>
  <c r="E238" i="29"/>
  <c r="H237" i="29"/>
  <c r="E237" i="29"/>
  <c r="H236" i="29"/>
  <c r="E236" i="29"/>
  <c r="H235" i="29"/>
  <c r="E235" i="29"/>
  <c r="H234" i="29"/>
  <c r="E234" i="29"/>
  <c r="H233" i="29"/>
  <c r="E233" i="29"/>
  <c r="H232" i="29"/>
  <c r="E232" i="29"/>
  <c r="H231" i="29"/>
  <c r="E231" i="29"/>
  <c r="H230" i="29"/>
  <c r="E230" i="29"/>
  <c r="H229" i="29"/>
  <c r="E229" i="29"/>
  <c r="H228" i="29"/>
  <c r="E228" i="29"/>
  <c r="H227" i="29"/>
  <c r="E227" i="29"/>
  <c r="H226" i="29"/>
  <c r="E226" i="29"/>
  <c r="H225" i="29"/>
  <c r="E225" i="29"/>
  <c r="H224" i="29"/>
  <c r="E224" i="29"/>
  <c r="H223" i="29"/>
  <c r="E223" i="29"/>
  <c r="H222" i="29"/>
  <c r="E222" i="29"/>
  <c r="G221" i="29"/>
  <c r="H221" i="29" s="1"/>
  <c r="F221" i="29"/>
  <c r="D221" i="29"/>
  <c r="C221" i="29"/>
  <c r="E221" i="29" s="1"/>
  <c r="H220" i="29"/>
  <c r="E220" i="29"/>
  <c r="H219" i="29"/>
  <c r="E219" i="29"/>
  <c r="H218" i="29"/>
  <c r="E218" i="29"/>
  <c r="H217" i="29"/>
  <c r="E217" i="29"/>
  <c r="H216" i="29"/>
  <c r="E216" i="29"/>
  <c r="H215" i="29"/>
  <c r="E215" i="29"/>
  <c r="H214" i="29"/>
  <c r="E214" i="29"/>
  <c r="H213" i="29"/>
  <c r="E213" i="29"/>
  <c r="H212" i="29"/>
  <c r="E212" i="29"/>
  <c r="H211" i="29"/>
  <c r="E211" i="29"/>
  <c r="H210" i="29"/>
  <c r="E210" i="29"/>
  <c r="H209" i="29"/>
  <c r="E209" i="29"/>
  <c r="H208" i="29"/>
  <c r="E208" i="29"/>
  <c r="H207" i="29"/>
  <c r="E207" i="29"/>
  <c r="H206" i="29"/>
  <c r="E206" i="29"/>
  <c r="H205" i="29"/>
  <c r="E205" i="29"/>
  <c r="G204" i="29"/>
  <c r="F204" i="29"/>
  <c r="D204" i="29"/>
  <c r="E204" i="29" s="1"/>
  <c r="C204" i="29"/>
  <c r="H203" i="29"/>
  <c r="E203" i="29"/>
  <c r="H202" i="29"/>
  <c r="E202" i="29"/>
  <c r="H201" i="29"/>
  <c r="E201" i="29"/>
  <c r="H200" i="29"/>
  <c r="E200" i="29"/>
  <c r="H199" i="29"/>
  <c r="E199" i="29"/>
  <c r="H198" i="29"/>
  <c r="E198" i="29"/>
  <c r="H197" i="29"/>
  <c r="E197" i="29"/>
  <c r="H196" i="29"/>
  <c r="E196" i="29"/>
  <c r="H195" i="29"/>
  <c r="E195" i="29"/>
  <c r="H194" i="29"/>
  <c r="E194" i="29"/>
  <c r="H193" i="29"/>
  <c r="E193" i="29"/>
  <c r="H192" i="29"/>
  <c r="E192" i="29"/>
  <c r="H191" i="29"/>
  <c r="E191" i="29"/>
  <c r="H190" i="29"/>
  <c r="E190" i="29"/>
  <c r="H189" i="29"/>
  <c r="E189" i="29"/>
  <c r="H188" i="29"/>
  <c r="E188" i="29"/>
  <c r="G187" i="29"/>
  <c r="H187" i="29" s="1"/>
  <c r="F187" i="29"/>
  <c r="D187" i="29"/>
  <c r="C187" i="29"/>
  <c r="H186" i="29"/>
  <c r="E186" i="29"/>
  <c r="H185" i="29"/>
  <c r="E185" i="29"/>
  <c r="H184" i="29"/>
  <c r="E184" i="29"/>
  <c r="H183" i="29"/>
  <c r="E183" i="29"/>
  <c r="H182" i="29"/>
  <c r="E182" i="29"/>
  <c r="H181" i="29"/>
  <c r="E181" i="29"/>
  <c r="H180" i="29"/>
  <c r="E180" i="29"/>
  <c r="H179" i="29"/>
  <c r="E179" i="29"/>
  <c r="H178" i="29"/>
  <c r="E178" i="29"/>
  <c r="H177" i="29"/>
  <c r="E177" i="29"/>
  <c r="H176" i="29"/>
  <c r="E176" i="29"/>
  <c r="H175" i="29"/>
  <c r="E175" i="29"/>
  <c r="H174" i="29"/>
  <c r="E174" i="29"/>
  <c r="H173" i="29"/>
  <c r="E173" i="29"/>
  <c r="H172" i="29"/>
  <c r="E172" i="29"/>
  <c r="H171" i="29"/>
  <c r="E171" i="29"/>
  <c r="G170" i="29"/>
  <c r="F170" i="29"/>
  <c r="D170" i="29"/>
  <c r="C170" i="29"/>
  <c r="H169" i="29"/>
  <c r="E169" i="29"/>
  <c r="H168" i="29"/>
  <c r="E168" i="29"/>
  <c r="H167" i="29"/>
  <c r="E167" i="29"/>
  <c r="H166" i="29"/>
  <c r="E166" i="29"/>
  <c r="H165" i="29"/>
  <c r="E165" i="29"/>
  <c r="H164" i="29"/>
  <c r="E164" i="29"/>
  <c r="H163" i="29"/>
  <c r="E163" i="29"/>
  <c r="H162" i="29"/>
  <c r="E162" i="29"/>
  <c r="H161" i="29"/>
  <c r="E161" i="29"/>
  <c r="H160" i="29"/>
  <c r="E160" i="29"/>
  <c r="H159" i="29"/>
  <c r="E159" i="29"/>
  <c r="H158" i="29"/>
  <c r="E158" i="29"/>
  <c r="H157" i="29"/>
  <c r="E157" i="29"/>
  <c r="H156" i="29"/>
  <c r="E156" i="29"/>
  <c r="G155" i="29"/>
  <c r="F155" i="29"/>
  <c r="D155" i="29"/>
  <c r="C155" i="29"/>
  <c r="H154" i="29"/>
  <c r="E154" i="29"/>
  <c r="H153" i="29"/>
  <c r="E153" i="29"/>
  <c r="H152" i="29"/>
  <c r="E152" i="29"/>
  <c r="H151" i="29"/>
  <c r="E151" i="29"/>
  <c r="H150" i="29"/>
  <c r="E150" i="29"/>
  <c r="H149" i="29"/>
  <c r="E149" i="29"/>
  <c r="H148" i="29"/>
  <c r="E148" i="29"/>
  <c r="H147" i="29"/>
  <c r="E147" i="29"/>
  <c r="H146" i="29"/>
  <c r="E146" i="29"/>
  <c r="H145" i="29"/>
  <c r="E145" i="29"/>
  <c r="H144" i="29"/>
  <c r="E144" i="29"/>
  <c r="H143" i="29"/>
  <c r="E143" i="29"/>
  <c r="H142" i="29"/>
  <c r="E142" i="29"/>
  <c r="H141" i="29"/>
  <c r="E141" i="29"/>
  <c r="H140" i="29"/>
  <c r="E140" i="29"/>
  <c r="G139" i="29"/>
  <c r="F139" i="29"/>
  <c r="D139" i="29"/>
  <c r="C139" i="29"/>
  <c r="E139" i="29" s="1"/>
  <c r="H138" i="29"/>
  <c r="E138" i="29"/>
  <c r="H137" i="29"/>
  <c r="E137" i="29"/>
  <c r="H136" i="29"/>
  <c r="E136" i="29"/>
  <c r="H135" i="29"/>
  <c r="E135" i="29"/>
  <c r="H134" i="29"/>
  <c r="E134" i="29"/>
  <c r="H133" i="29"/>
  <c r="E133" i="29"/>
  <c r="H132" i="29"/>
  <c r="E132" i="29"/>
  <c r="H131" i="29"/>
  <c r="E131" i="29"/>
  <c r="H130" i="29"/>
  <c r="E130" i="29"/>
  <c r="H129" i="29"/>
  <c r="E129" i="29"/>
  <c r="H128" i="29"/>
  <c r="E128" i="29"/>
  <c r="H127" i="29"/>
  <c r="E127" i="29"/>
  <c r="H126" i="29"/>
  <c r="E126" i="29"/>
  <c r="H125" i="29"/>
  <c r="E125" i="29"/>
  <c r="H124" i="29"/>
  <c r="E124" i="29"/>
  <c r="H123" i="29"/>
  <c r="E123" i="29"/>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A35" i="5"/>
  <c r="A34" i="5"/>
  <c r="BT33" i="5"/>
  <c r="M33" i="5"/>
  <c r="L33" i="5"/>
  <c r="K33" i="5"/>
  <c r="J33" i="5"/>
  <c r="I33" i="5"/>
  <c r="H33" i="5"/>
  <c r="G33" i="5"/>
  <c r="A33" i="5"/>
  <c r="A32" i="5"/>
  <c r="A31" i="5"/>
  <c r="A30" i="5"/>
  <c r="A29" i="5"/>
  <c r="BT28" i="5"/>
  <c r="BQ28" i="5"/>
  <c r="BP28" i="5"/>
  <c r="BO28" i="5"/>
  <c r="BN28" i="5"/>
  <c r="BM28" i="5"/>
  <c r="BL28" i="5"/>
  <c r="BK28" i="5"/>
  <c r="BJ28" i="5"/>
  <c r="BI28" i="5"/>
  <c r="BG28" i="5"/>
  <c r="BD28" i="5"/>
  <c r="BC28" i="5"/>
  <c r="Q28" i="5"/>
  <c r="O28" i="5"/>
  <c r="N28" i="5"/>
  <c r="M28" i="5"/>
  <c r="L28" i="5"/>
  <c r="K28" i="5"/>
  <c r="J28" i="5"/>
  <c r="I28" i="5"/>
  <c r="H28" i="5"/>
  <c r="G28" i="5"/>
  <c r="A28" i="5"/>
  <c r="BT27" i="5"/>
  <c r="BS27" i="5"/>
  <c r="BQ27" i="5"/>
  <c r="BP27" i="5"/>
  <c r="BN27" i="5"/>
  <c r="BM27" i="5"/>
  <c r="BL27" i="5"/>
  <c r="BK27" i="5"/>
  <c r="BJ27" i="5"/>
  <c r="BI27" i="5"/>
  <c r="BG27" i="5"/>
  <c r="A27" i="5"/>
  <c r="A26" i="5"/>
  <c r="BS25" i="5"/>
  <c r="BO25" i="5"/>
  <c r="BN25" i="5"/>
  <c r="BM25" i="5"/>
  <c r="BL25" i="5"/>
  <c r="A25" i="5"/>
  <c r="A24" i="5"/>
  <c r="BI23" i="5"/>
  <c r="BG23" i="5"/>
  <c r="A23" i="5"/>
  <c r="BT22" i="5"/>
  <c r="BS22" i="5"/>
  <c r="BR22" i="5"/>
  <c r="BQ22" i="5"/>
  <c r="BP22" i="5"/>
  <c r="BO22" i="5"/>
  <c r="BN22" i="5"/>
  <c r="BM22" i="5"/>
  <c r="BL22" i="5"/>
  <c r="BK22" i="5"/>
  <c r="BJ22" i="5"/>
  <c r="BI22" i="5"/>
  <c r="BG22" i="5"/>
  <c r="BF22" i="5"/>
  <c r="BD22" i="5"/>
  <c r="BC22" i="5"/>
  <c r="A22" i="5"/>
  <c r="BT21" i="5"/>
  <c r="BQ21" i="5"/>
  <c r="BP21" i="5"/>
  <c r="BO21" i="5"/>
  <c r="BN21" i="5"/>
  <c r="BI21" i="5"/>
  <c r="BG21" i="5"/>
  <c r="BF21" i="5"/>
  <c r="A21" i="5"/>
  <c r="A20" i="5"/>
  <c r="BT19" i="5"/>
  <c r="BS19" i="5"/>
  <c r="BR19" i="5"/>
  <c r="BQ19" i="5"/>
  <c r="BP19" i="5"/>
  <c r="BO19" i="5"/>
  <c r="BL19" i="5"/>
  <c r="BK19" i="5"/>
  <c r="BG19" i="5"/>
  <c r="BF19" i="5"/>
  <c r="BC19" i="5"/>
  <c r="AR19" i="5"/>
  <c r="A19" i="5"/>
  <c r="BN18" i="5"/>
  <c r="BM18" i="5"/>
  <c r="BG18" i="5"/>
  <c r="BB18" i="5"/>
  <c r="A18" i="5"/>
  <c r="A17" i="5"/>
  <c r="A16" i="5"/>
  <c r="A15" i="5"/>
  <c r="A14" i="5"/>
  <c r="A13" i="5"/>
  <c r="BT12" i="5"/>
  <c r="BS12" i="5"/>
  <c r="BR12" i="5"/>
  <c r="BQ12" i="5"/>
  <c r="BP12" i="5"/>
  <c r="BO12" i="5"/>
  <c r="BN12" i="5"/>
  <c r="BM12" i="5"/>
  <c r="BL12" i="5"/>
  <c r="BK12" i="5"/>
  <c r="BJ12" i="5"/>
  <c r="BI12" i="5"/>
  <c r="BF12" i="5"/>
  <c r="BC12" i="5"/>
  <c r="AE12" i="5"/>
  <c r="A12" i="5"/>
  <c r="A11" i="5"/>
  <c r="A10" i="5"/>
  <c r="A9" i="5"/>
  <c r="BR8" i="5"/>
  <c r="BQ8" i="5"/>
  <c r="BP8" i="5"/>
  <c r="BO8" i="5"/>
  <c r="BN8" i="5"/>
  <c r="BM8" i="5"/>
  <c r="BL8" i="5"/>
  <c r="BK8" i="5"/>
  <c r="BJ8" i="5"/>
  <c r="BI8" i="5"/>
  <c r="BG8" i="5"/>
  <c r="BF8" i="5"/>
  <c r="BC8" i="5"/>
  <c r="AE8" i="5"/>
  <c r="A8" i="5"/>
  <c r="A7" i="5"/>
  <c r="BT6" i="5"/>
  <c r="BS6" i="5"/>
  <c r="BR6" i="5"/>
  <c r="BQ6" i="5"/>
  <c r="BP6" i="5"/>
  <c r="BO6" i="5"/>
  <c r="BN6" i="5"/>
  <c r="BM6" i="5"/>
  <c r="BL6" i="5"/>
  <c r="BK6" i="5"/>
  <c r="BJ6" i="5"/>
  <c r="BI6" i="5"/>
  <c r="BG6" i="5"/>
  <c r="BC6" i="5"/>
  <c r="A6" i="5"/>
  <c r="A5" i="5"/>
  <c r="BO4" i="5"/>
  <c r="BN4" i="5"/>
  <c r="BM4" i="5"/>
  <c r="BK4" i="5"/>
  <c r="BJ4" i="5"/>
  <c r="BI4" i="5"/>
  <c r="BG4" i="5"/>
  <c r="BF4" i="5"/>
  <c r="BE4" i="5"/>
  <c r="A4" i="5"/>
  <c r="BW3" i="5"/>
  <c r="A3"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Q287" i="28"/>
  <c r="L287" i="28"/>
  <c r="K287" i="28"/>
  <c r="I287" i="28"/>
  <c r="H287" i="28"/>
  <c r="F287" i="28"/>
  <c r="E287" i="28"/>
  <c r="Q286" i="28"/>
  <c r="L286" i="28"/>
  <c r="K286" i="28"/>
  <c r="I286" i="28"/>
  <c r="H286" i="28"/>
  <c r="F286" i="28"/>
  <c r="E286" i="28"/>
  <c r="Q285" i="28"/>
  <c r="L285" i="28"/>
  <c r="K285" i="28"/>
  <c r="I285" i="28"/>
  <c r="H285" i="28"/>
  <c r="F285" i="28"/>
  <c r="E285" i="28"/>
  <c r="Q284" i="28"/>
  <c r="L284" i="28"/>
  <c r="K284" i="28"/>
  <c r="I284" i="28"/>
  <c r="H284" i="28"/>
  <c r="F284" i="28"/>
  <c r="E284" i="28"/>
  <c r="Q283" i="28"/>
  <c r="L283" i="28"/>
  <c r="I283" i="28"/>
  <c r="H283" i="28"/>
  <c r="F283" i="28"/>
  <c r="E283" i="28"/>
  <c r="Q282" i="28"/>
  <c r="L282" i="28"/>
  <c r="K282" i="28"/>
  <c r="I282" i="28"/>
  <c r="H282" i="28"/>
  <c r="F282" i="28"/>
  <c r="E282" i="28"/>
  <c r="Q281" i="28"/>
  <c r="L281" i="28"/>
  <c r="K281" i="28"/>
  <c r="I281" i="28"/>
  <c r="H281" i="28"/>
  <c r="F281" i="28"/>
  <c r="E281" i="28"/>
  <c r="Q280" i="28"/>
  <c r="L280" i="28"/>
  <c r="K280" i="28"/>
  <c r="I280" i="28"/>
  <c r="H280" i="28"/>
  <c r="F280" i="28"/>
  <c r="E280" i="28"/>
  <c r="Q279" i="28"/>
  <c r="L279" i="28"/>
  <c r="K279" i="28"/>
  <c r="I279" i="28"/>
  <c r="H279" i="28"/>
  <c r="F279" i="28"/>
  <c r="E279" i="28"/>
  <c r="Q278" i="28"/>
  <c r="L278" i="28"/>
  <c r="K278" i="28"/>
  <c r="I278" i="28"/>
  <c r="H278" i="28"/>
  <c r="F278" i="28"/>
  <c r="E278" i="28"/>
  <c r="Q277" i="28"/>
  <c r="L277" i="28"/>
  <c r="K277" i="28"/>
  <c r="I277" i="28"/>
  <c r="H277" i="28"/>
  <c r="F277" i="28"/>
  <c r="E277" i="28"/>
  <c r="Q276" i="28"/>
  <c r="L276" i="28"/>
  <c r="K276" i="28"/>
  <c r="I276" i="28"/>
  <c r="H276" i="28"/>
  <c r="F276" i="28"/>
  <c r="E276" i="28"/>
  <c r="Q275" i="28"/>
  <c r="L275" i="28"/>
  <c r="K275" i="28"/>
  <c r="I275" i="28"/>
  <c r="H275" i="28"/>
  <c r="F275" i="28"/>
  <c r="E275" i="28"/>
  <c r="Q274" i="28"/>
  <c r="L274" i="28"/>
  <c r="K274" i="28"/>
  <c r="I274" i="28"/>
  <c r="H274" i="28"/>
  <c r="F274" i="28"/>
  <c r="E274" i="28"/>
  <c r="Q273" i="28"/>
  <c r="L273" i="28"/>
  <c r="K273" i="28"/>
  <c r="I273" i="28"/>
  <c r="H273" i="28"/>
  <c r="F273" i="28"/>
  <c r="E273" i="28"/>
  <c r="Q272" i="28"/>
  <c r="L272" i="28"/>
  <c r="K272" i="28"/>
  <c r="I272" i="28"/>
  <c r="H272" i="28"/>
  <c r="F272" i="28"/>
  <c r="E272" i="28"/>
  <c r="Q271" i="28"/>
  <c r="L271" i="28"/>
  <c r="K271" i="28"/>
  <c r="I271" i="28"/>
  <c r="H271" i="28"/>
  <c r="F271" i="28"/>
  <c r="E271" i="28"/>
  <c r="Q270" i="28"/>
  <c r="L270" i="28"/>
  <c r="K270" i="28"/>
  <c r="I270" i="28"/>
  <c r="H270" i="28"/>
  <c r="F270" i="28"/>
  <c r="E270" i="28"/>
  <c r="Q269" i="28"/>
  <c r="L269" i="28"/>
  <c r="K269" i="28"/>
  <c r="I269" i="28"/>
  <c r="H269" i="28"/>
  <c r="F269" i="28"/>
  <c r="E269" i="28"/>
  <c r="Q268" i="28"/>
  <c r="L268" i="28"/>
  <c r="K268" i="28"/>
  <c r="I268" i="28"/>
  <c r="H268" i="28"/>
  <c r="F268" i="28"/>
  <c r="E268" i="28"/>
  <c r="Q267" i="28"/>
  <c r="L267" i="28"/>
  <c r="K267" i="28"/>
  <c r="I267" i="28"/>
  <c r="H267" i="28"/>
  <c r="F267" i="28"/>
  <c r="E267" i="28"/>
  <c r="Q265" i="28"/>
  <c r="L265" i="28"/>
  <c r="K265" i="28"/>
  <c r="I265" i="28"/>
  <c r="H265" i="28"/>
  <c r="F265" i="28"/>
  <c r="E265" i="28"/>
  <c r="Q264" i="28"/>
  <c r="L264" i="28"/>
  <c r="K264" i="28"/>
  <c r="I264" i="28"/>
  <c r="H264" i="28"/>
  <c r="F264" i="28"/>
  <c r="E264" i="28"/>
  <c r="Q263" i="28"/>
  <c r="L263" i="28"/>
  <c r="K263" i="28"/>
  <c r="I263" i="28"/>
  <c r="H263" i="28"/>
  <c r="F263" i="28"/>
  <c r="E263" i="28"/>
  <c r="Q262" i="28"/>
  <c r="L262" i="28"/>
  <c r="K262" i="28"/>
  <c r="I262" i="28"/>
  <c r="H262" i="28"/>
  <c r="F262" i="28"/>
  <c r="E262" i="28"/>
  <c r="Q261" i="28"/>
  <c r="L261" i="28"/>
  <c r="K261" i="28"/>
  <c r="I261" i="28"/>
  <c r="H261" i="28"/>
  <c r="F261" i="28"/>
  <c r="E261" i="28"/>
  <c r="Q260" i="28"/>
  <c r="L260" i="28"/>
  <c r="K260" i="28"/>
  <c r="I260" i="28"/>
  <c r="H260" i="28"/>
  <c r="F260" i="28"/>
  <c r="E260" i="28"/>
  <c r="Q259" i="28"/>
  <c r="L259" i="28"/>
  <c r="K259" i="28"/>
  <c r="I259" i="28"/>
  <c r="H259" i="28"/>
  <c r="F259" i="28"/>
  <c r="E259" i="28"/>
  <c r="Q258" i="28"/>
  <c r="L258" i="28"/>
  <c r="K258" i="28"/>
  <c r="I258" i="28"/>
  <c r="H258" i="28"/>
  <c r="F258" i="28"/>
  <c r="E258" i="28"/>
  <c r="Q257" i="28"/>
  <c r="L257" i="28"/>
  <c r="K257" i="28"/>
  <c r="I257" i="28"/>
  <c r="H257" i="28"/>
  <c r="F257" i="28"/>
  <c r="E257" i="28"/>
  <c r="Q256" i="28"/>
  <c r="L256" i="28"/>
  <c r="K256" i="28"/>
  <c r="I256" i="28"/>
  <c r="H256" i="28"/>
  <c r="F256" i="28"/>
  <c r="E256" i="28"/>
  <c r="Q255" i="28"/>
  <c r="L255" i="28"/>
  <c r="K255" i="28"/>
  <c r="I255" i="28"/>
  <c r="H255" i="28"/>
  <c r="F255" i="28"/>
  <c r="E255" i="28"/>
  <c r="Q254" i="28"/>
  <c r="L254" i="28"/>
  <c r="K254" i="28"/>
  <c r="I254" i="28"/>
  <c r="H254" i="28"/>
  <c r="F254" i="28"/>
  <c r="E254" i="28"/>
  <c r="Q253" i="28"/>
  <c r="L253" i="28"/>
  <c r="K253" i="28"/>
  <c r="I253" i="28"/>
  <c r="H253" i="28"/>
  <c r="F253" i="28"/>
  <c r="E253" i="28"/>
  <c r="Q252" i="28"/>
  <c r="L252" i="28"/>
  <c r="K252" i="28"/>
  <c r="I252" i="28"/>
  <c r="H252" i="28"/>
  <c r="F252" i="28"/>
  <c r="E252" i="28"/>
  <c r="Q251" i="28"/>
  <c r="L251" i="28"/>
  <c r="K251" i="28"/>
  <c r="I251" i="28"/>
  <c r="H251" i="28"/>
  <c r="F251" i="28"/>
  <c r="E251" i="28"/>
  <c r="Q250" i="28"/>
  <c r="L250" i="28"/>
  <c r="K250" i="28"/>
  <c r="I250" i="28"/>
  <c r="H250" i="28"/>
  <c r="F250" i="28"/>
  <c r="E250" i="28"/>
  <c r="Q249" i="28"/>
  <c r="L249" i="28"/>
  <c r="K249" i="28"/>
  <c r="I249" i="28"/>
  <c r="H249" i="28"/>
  <c r="F249" i="28"/>
  <c r="E249" i="28"/>
  <c r="Q248" i="28"/>
  <c r="L248" i="28"/>
  <c r="K248" i="28"/>
  <c r="I248" i="28"/>
  <c r="H248" i="28"/>
  <c r="F248" i="28"/>
  <c r="E248" i="28"/>
  <c r="Q247" i="28"/>
  <c r="L247" i="28"/>
  <c r="K247" i="28"/>
  <c r="I247" i="28"/>
  <c r="H247" i="28"/>
  <c r="F247" i="28"/>
  <c r="E247" i="28"/>
  <c r="Q246" i="28"/>
  <c r="L246" i="28"/>
  <c r="K246" i="28"/>
  <c r="I246" i="28"/>
  <c r="H246" i="28"/>
  <c r="F246" i="28"/>
  <c r="E246" i="28"/>
  <c r="Q245" i="28"/>
  <c r="L245" i="28"/>
  <c r="K245" i="28"/>
  <c r="I245" i="28"/>
  <c r="H245" i="28"/>
  <c r="F245" i="28"/>
  <c r="E245" i="28"/>
  <c r="Q243" i="28"/>
  <c r="L243" i="28"/>
  <c r="K243" i="28"/>
  <c r="I243" i="28"/>
  <c r="H243" i="28"/>
  <c r="F243" i="28"/>
  <c r="E243" i="28"/>
  <c r="Q242" i="28"/>
  <c r="L242" i="28"/>
  <c r="K242" i="28"/>
  <c r="I242" i="28"/>
  <c r="H242" i="28"/>
  <c r="F242" i="28"/>
  <c r="E242" i="28"/>
  <c r="Q241" i="28"/>
  <c r="L241" i="28"/>
  <c r="K241" i="28"/>
  <c r="I241" i="28"/>
  <c r="H241" i="28"/>
  <c r="F241" i="28"/>
  <c r="E241" i="28"/>
  <c r="Q240" i="28"/>
  <c r="L240" i="28"/>
  <c r="K240" i="28"/>
  <c r="I240" i="28"/>
  <c r="H240" i="28"/>
  <c r="F240" i="28"/>
  <c r="E240" i="28"/>
  <c r="Q239" i="28"/>
  <c r="L239" i="28"/>
  <c r="K239" i="28"/>
  <c r="I239" i="28"/>
  <c r="H239" i="28"/>
  <c r="F239" i="28"/>
  <c r="E239" i="28"/>
  <c r="Q238" i="28"/>
  <c r="L238" i="28"/>
  <c r="K238" i="28"/>
  <c r="I238" i="28"/>
  <c r="H238" i="28"/>
  <c r="F238" i="28"/>
  <c r="E238" i="28"/>
  <c r="Q237" i="28"/>
  <c r="L237" i="28"/>
  <c r="K237" i="28"/>
  <c r="I237" i="28"/>
  <c r="H237" i="28"/>
  <c r="F237" i="28"/>
  <c r="E237" i="28"/>
  <c r="Q236" i="28"/>
  <c r="L236" i="28"/>
  <c r="K236" i="28"/>
  <c r="I236" i="28"/>
  <c r="H236" i="28"/>
  <c r="F236" i="28"/>
  <c r="E236" i="28"/>
  <c r="Q235" i="28"/>
  <c r="L235" i="28"/>
  <c r="K235" i="28"/>
  <c r="I235" i="28"/>
  <c r="H235" i="28"/>
  <c r="F235" i="28"/>
  <c r="E235" i="28"/>
  <c r="Q234" i="28"/>
  <c r="L234" i="28"/>
  <c r="K234" i="28"/>
  <c r="I234" i="28"/>
  <c r="H234" i="28"/>
  <c r="F234" i="28"/>
  <c r="E234" i="28"/>
  <c r="Q233" i="28"/>
  <c r="L233" i="28"/>
  <c r="K233" i="28"/>
  <c r="I233" i="28"/>
  <c r="H233" i="28"/>
  <c r="F233" i="28"/>
  <c r="E233" i="28"/>
  <c r="Q232" i="28"/>
  <c r="L232" i="28"/>
  <c r="K232" i="28"/>
  <c r="I232" i="28"/>
  <c r="H232" i="28"/>
  <c r="F232" i="28"/>
  <c r="E232" i="28"/>
  <c r="Q231" i="28"/>
  <c r="L231" i="28"/>
  <c r="K231" i="28"/>
  <c r="I231" i="28"/>
  <c r="H231" i="28"/>
  <c r="F231" i="28"/>
  <c r="E231" i="28"/>
  <c r="Q230" i="28"/>
  <c r="L230" i="28"/>
  <c r="K230" i="28"/>
  <c r="I230" i="28"/>
  <c r="H230" i="28"/>
  <c r="F230" i="28"/>
  <c r="E230" i="28"/>
  <c r="Q229" i="28"/>
  <c r="L229" i="28"/>
  <c r="K229" i="28"/>
  <c r="I229" i="28"/>
  <c r="H229" i="28"/>
  <c r="F229" i="28"/>
  <c r="E229" i="28"/>
  <c r="Q228" i="28"/>
  <c r="L228" i="28"/>
  <c r="K228" i="28"/>
  <c r="I228" i="28"/>
  <c r="H228" i="28"/>
  <c r="F228" i="28"/>
  <c r="E228" i="28"/>
  <c r="Q227" i="28"/>
  <c r="L227" i="28"/>
  <c r="K227" i="28"/>
  <c r="I227" i="28"/>
  <c r="H227" i="28"/>
  <c r="F227" i="28"/>
  <c r="E227" i="28"/>
  <c r="Q226" i="28"/>
  <c r="L226" i="28"/>
  <c r="K226" i="28"/>
  <c r="I226" i="28"/>
  <c r="H226" i="28"/>
  <c r="F226" i="28"/>
  <c r="E226" i="28"/>
  <c r="Q225" i="28"/>
  <c r="L225" i="28"/>
  <c r="K225" i="28"/>
  <c r="I225" i="28"/>
  <c r="H225" i="28"/>
  <c r="F225" i="28"/>
  <c r="E225" i="28"/>
  <c r="Q224" i="28"/>
  <c r="L224" i="28"/>
  <c r="K224" i="28"/>
  <c r="I224" i="28"/>
  <c r="H224" i="28"/>
  <c r="F224" i="28"/>
  <c r="E224" i="28"/>
  <c r="Q223" i="28"/>
  <c r="L223" i="28"/>
  <c r="K223" i="28"/>
  <c r="I223" i="28"/>
  <c r="H223" i="28"/>
  <c r="F223" i="28"/>
  <c r="E223" i="28"/>
  <c r="Q221" i="28"/>
  <c r="L221" i="28"/>
  <c r="K221" i="28"/>
  <c r="I221" i="28"/>
  <c r="H221" i="28"/>
  <c r="F221" i="28"/>
  <c r="E221" i="28"/>
  <c r="Q220" i="28"/>
  <c r="L220" i="28"/>
  <c r="K220" i="28"/>
  <c r="I220" i="28"/>
  <c r="H220" i="28"/>
  <c r="F220" i="28"/>
  <c r="E220" i="28"/>
  <c r="Q219" i="28"/>
  <c r="L219" i="28"/>
  <c r="K219" i="28"/>
  <c r="I219" i="28"/>
  <c r="H219" i="28"/>
  <c r="F219" i="28"/>
  <c r="E219" i="28"/>
  <c r="Q218" i="28"/>
  <c r="L218" i="28"/>
  <c r="K218" i="28"/>
  <c r="I218" i="28"/>
  <c r="H218" i="28"/>
  <c r="F218" i="28"/>
  <c r="E218" i="28"/>
  <c r="Q217" i="28"/>
  <c r="L217" i="28"/>
  <c r="K217" i="28"/>
  <c r="I217" i="28"/>
  <c r="H217" i="28"/>
  <c r="F217" i="28"/>
  <c r="E217" i="28"/>
  <c r="Q216" i="28"/>
  <c r="L216" i="28"/>
  <c r="K216" i="28"/>
  <c r="I216" i="28"/>
  <c r="H216" i="28"/>
  <c r="F216" i="28"/>
  <c r="E216" i="28"/>
  <c r="Q215" i="28"/>
  <c r="L215" i="28"/>
  <c r="K215" i="28"/>
  <c r="I215" i="28"/>
  <c r="H215" i="28"/>
  <c r="F215" i="28"/>
  <c r="E215" i="28"/>
  <c r="Q214" i="28"/>
  <c r="L214" i="28"/>
  <c r="K214" i="28"/>
  <c r="I214" i="28"/>
  <c r="H214" i="28"/>
  <c r="F214" i="28"/>
  <c r="E214" i="28"/>
  <c r="Q213" i="28"/>
  <c r="L213" i="28"/>
  <c r="K213" i="28"/>
  <c r="I213" i="28"/>
  <c r="H213" i="28"/>
  <c r="F213" i="28"/>
  <c r="E213" i="28"/>
  <c r="Q212" i="28"/>
  <c r="L212" i="28"/>
  <c r="K212" i="28"/>
  <c r="I212" i="28"/>
  <c r="H212" i="28"/>
  <c r="F212" i="28"/>
  <c r="E212" i="28"/>
  <c r="Q211" i="28"/>
  <c r="L211" i="28"/>
  <c r="K211" i="28"/>
  <c r="I211" i="28"/>
  <c r="H211" i="28"/>
  <c r="F211" i="28"/>
  <c r="E211" i="28"/>
  <c r="Q210" i="28"/>
  <c r="L210" i="28"/>
  <c r="K210" i="28"/>
  <c r="I210" i="28"/>
  <c r="H210" i="28"/>
  <c r="F210" i="28"/>
  <c r="E210" i="28"/>
  <c r="Q209" i="28"/>
  <c r="L209" i="28"/>
  <c r="K209" i="28"/>
  <c r="I209" i="28"/>
  <c r="H209" i="28"/>
  <c r="F209" i="28"/>
  <c r="E209" i="28"/>
  <c r="Q208" i="28"/>
  <c r="L208" i="28"/>
  <c r="K208" i="28"/>
  <c r="I208" i="28"/>
  <c r="H208" i="28"/>
  <c r="F208" i="28"/>
  <c r="E208" i="28"/>
  <c r="Q207" i="28"/>
  <c r="L207" i="28"/>
  <c r="K207" i="28"/>
  <c r="I207" i="28"/>
  <c r="H207" i="28"/>
  <c r="F207" i="28"/>
  <c r="E207" i="28"/>
  <c r="Q206" i="28"/>
  <c r="L206" i="28"/>
  <c r="K206" i="28"/>
  <c r="I206" i="28"/>
  <c r="H206" i="28"/>
  <c r="F206" i="28"/>
  <c r="E206" i="28"/>
  <c r="Q205" i="28"/>
  <c r="L205" i="28"/>
  <c r="K205" i="28"/>
  <c r="I205" i="28"/>
  <c r="H205" i="28"/>
  <c r="F205" i="28"/>
  <c r="E205" i="28"/>
  <c r="Q204" i="28"/>
  <c r="L204" i="28"/>
  <c r="K204" i="28"/>
  <c r="I204" i="28"/>
  <c r="H204" i="28"/>
  <c r="F204" i="28"/>
  <c r="E204" i="28"/>
  <c r="Q203" i="28"/>
  <c r="L203" i="28"/>
  <c r="K203" i="28"/>
  <c r="I203" i="28"/>
  <c r="H203" i="28"/>
  <c r="F203" i="28"/>
  <c r="E203" i="28"/>
  <c r="Q202" i="28"/>
  <c r="L202" i="28"/>
  <c r="K202" i="28"/>
  <c r="I202" i="28"/>
  <c r="H202" i="28"/>
  <c r="F202" i="28"/>
  <c r="E202" i="28"/>
  <c r="Q201" i="28"/>
  <c r="L201" i="28"/>
  <c r="K201" i="28"/>
  <c r="I201" i="28"/>
  <c r="H201" i="28"/>
  <c r="F201" i="28"/>
  <c r="E201" i="28"/>
  <c r="Q198" i="28"/>
  <c r="J198" i="28"/>
  <c r="T198" i="28" s="1"/>
  <c r="G198" i="28"/>
  <c r="S198" i="28" s="1"/>
  <c r="D198" i="28"/>
  <c r="R198" i="28" s="1"/>
  <c r="Q197" i="28"/>
  <c r="J197" i="28"/>
  <c r="T197" i="28" s="1"/>
  <c r="G197" i="28"/>
  <c r="S197" i="28" s="1"/>
  <c r="D197" i="28"/>
  <c r="R197" i="28" s="1"/>
  <c r="Q196" i="28"/>
  <c r="J196" i="28"/>
  <c r="T196" i="28" s="1"/>
  <c r="G196" i="28"/>
  <c r="S196" i="28" s="1"/>
  <c r="D196" i="28"/>
  <c r="R196" i="28" s="1"/>
  <c r="Q195" i="28"/>
  <c r="L195" i="28"/>
  <c r="K195" i="28"/>
  <c r="J195" i="28"/>
  <c r="T195" i="28" s="1"/>
  <c r="G195" i="28"/>
  <c r="S195" i="28" s="1"/>
  <c r="D195" i="28"/>
  <c r="R195" i="28" s="1"/>
  <c r="Q194" i="28"/>
  <c r="K194" i="28"/>
  <c r="J194" i="28" s="1"/>
  <c r="T194" i="28" s="1"/>
  <c r="G194" i="28"/>
  <c r="S194" i="28" s="1"/>
  <c r="D194" i="28"/>
  <c r="R194" i="28" s="1"/>
  <c r="Q193" i="28"/>
  <c r="J193" i="28"/>
  <c r="T193" i="28" s="1"/>
  <c r="G193" i="28"/>
  <c r="S193" i="28" s="1"/>
  <c r="D193" i="28"/>
  <c r="R193" i="28" s="1"/>
  <c r="Q192" i="28"/>
  <c r="J192" i="28"/>
  <c r="T192" i="28" s="1"/>
  <c r="G192" i="28"/>
  <c r="S192" i="28" s="1"/>
  <c r="D192" i="28"/>
  <c r="R192" i="28" s="1"/>
  <c r="Q191" i="28"/>
  <c r="J191" i="28"/>
  <c r="T191" i="28" s="1"/>
  <c r="G191" i="28"/>
  <c r="S191" i="28" s="1"/>
  <c r="D191" i="28"/>
  <c r="R191" i="28" s="1"/>
  <c r="Q190" i="28"/>
  <c r="J190" i="28"/>
  <c r="T190" i="28" s="1"/>
  <c r="G190" i="28"/>
  <c r="S190" i="28" s="1"/>
  <c r="D190" i="28"/>
  <c r="R190" i="28" s="1"/>
  <c r="Q189" i="28"/>
  <c r="J189" i="28"/>
  <c r="T189" i="28" s="1"/>
  <c r="G189" i="28"/>
  <c r="S189" i="28" s="1"/>
  <c r="D189" i="28"/>
  <c r="R189" i="28" s="1"/>
  <c r="Q188" i="28"/>
  <c r="J188" i="28"/>
  <c r="T188" i="28" s="1"/>
  <c r="G188" i="28"/>
  <c r="S188" i="28" s="1"/>
  <c r="D188" i="28"/>
  <c r="R188" i="28" s="1"/>
  <c r="Q187" i="28"/>
  <c r="J187" i="28"/>
  <c r="T187" i="28" s="1"/>
  <c r="G187" i="28"/>
  <c r="S187" i="28" s="1"/>
  <c r="D187" i="28"/>
  <c r="R187" i="28" s="1"/>
  <c r="Q186" i="28"/>
  <c r="M186" i="28"/>
  <c r="J186" i="28"/>
  <c r="T186" i="28" s="1"/>
  <c r="G186" i="28"/>
  <c r="S186" i="28" s="1"/>
  <c r="D186" i="28"/>
  <c r="R186" i="28" s="1"/>
  <c r="Q185" i="28"/>
  <c r="M185" i="28"/>
  <c r="J185" i="28"/>
  <c r="T185" i="28" s="1"/>
  <c r="G185" i="28"/>
  <c r="S185" i="28" s="1"/>
  <c r="D185" i="28"/>
  <c r="R185" i="28" s="1"/>
  <c r="Q184" i="28"/>
  <c r="M184" i="28"/>
  <c r="J184" i="28"/>
  <c r="T184" i="28" s="1"/>
  <c r="G184" i="28"/>
  <c r="S184" i="28" s="1"/>
  <c r="D184" i="28"/>
  <c r="R184" i="28" s="1"/>
  <c r="Q183" i="28"/>
  <c r="M183" i="28"/>
  <c r="J183" i="28"/>
  <c r="T183" i="28" s="1"/>
  <c r="G183" i="28"/>
  <c r="S183" i="28" s="1"/>
  <c r="D183" i="28"/>
  <c r="R183" i="28" s="1"/>
  <c r="Q182" i="28"/>
  <c r="M182" i="28"/>
  <c r="J182" i="28"/>
  <c r="T182" i="28" s="1"/>
  <c r="G182" i="28"/>
  <c r="S182" i="28" s="1"/>
  <c r="D182" i="28"/>
  <c r="R182" i="28" s="1"/>
  <c r="Q181" i="28"/>
  <c r="M181" i="28"/>
  <c r="J181" i="28"/>
  <c r="T181" i="28" s="1"/>
  <c r="G181" i="28"/>
  <c r="S181" i="28" s="1"/>
  <c r="D181" i="28"/>
  <c r="R181" i="28" s="1"/>
  <c r="Q180" i="28"/>
  <c r="M180" i="28"/>
  <c r="J180" i="28"/>
  <c r="T180" i="28" s="1"/>
  <c r="G180" i="28"/>
  <c r="S180" i="28" s="1"/>
  <c r="D180" i="28"/>
  <c r="R180" i="28" s="1"/>
  <c r="Q179" i="28"/>
  <c r="M179" i="28"/>
  <c r="J179" i="28"/>
  <c r="T179" i="28" s="1"/>
  <c r="G179" i="28"/>
  <c r="S179" i="28" s="1"/>
  <c r="D179" i="28"/>
  <c r="R179" i="28" s="1"/>
  <c r="Q178" i="28"/>
  <c r="M178" i="28"/>
  <c r="J178" i="28"/>
  <c r="T178" i="28" s="1"/>
  <c r="G178" i="28"/>
  <c r="S178" i="28" s="1"/>
  <c r="D178" i="28"/>
  <c r="R178" i="28" s="1"/>
  <c r="Q176" i="28"/>
  <c r="J176" i="28"/>
  <c r="T176" i="28" s="1"/>
  <c r="G176" i="28"/>
  <c r="S176" i="28" s="1"/>
  <c r="D176" i="28"/>
  <c r="R176" i="28" s="1"/>
  <c r="Q175" i="28"/>
  <c r="J175" i="28"/>
  <c r="T175" i="28" s="1"/>
  <c r="G175" i="28"/>
  <c r="S175" i="28" s="1"/>
  <c r="D175" i="28"/>
  <c r="R175" i="28" s="1"/>
  <c r="Q174" i="28"/>
  <c r="J174" i="28"/>
  <c r="T174" i="28" s="1"/>
  <c r="G174" i="28"/>
  <c r="S174" i="28" s="1"/>
  <c r="D174" i="28"/>
  <c r="R174" i="28" s="1"/>
  <c r="Q173" i="28"/>
  <c r="J173" i="28"/>
  <c r="T173" i="28" s="1"/>
  <c r="G173" i="28"/>
  <c r="S173" i="28" s="1"/>
  <c r="D173" i="28"/>
  <c r="R173" i="28" s="1"/>
  <c r="Q172" i="28"/>
  <c r="J172" i="28"/>
  <c r="G172" i="28"/>
  <c r="S172" i="28" s="1"/>
  <c r="D172" i="28"/>
  <c r="R172" i="28" s="1"/>
  <c r="Q171" i="28"/>
  <c r="J171" i="28"/>
  <c r="T171" i="28" s="1"/>
  <c r="G171" i="28"/>
  <c r="S171" i="28" s="1"/>
  <c r="D171" i="28"/>
  <c r="R171" i="28" s="1"/>
  <c r="Q170" i="28"/>
  <c r="J170" i="28"/>
  <c r="T170" i="28" s="1"/>
  <c r="G170" i="28"/>
  <c r="S170" i="28" s="1"/>
  <c r="D170" i="28"/>
  <c r="R170" i="28" s="1"/>
  <c r="Q169" i="28"/>
  <c r="J169" i="28"/>
  <c r="T169" i="28" s="1"/>
  <c r="G169" i="28"/>
  <c r="S169" i="28" s="1"/>
  <c r="D169" i="28"/>
  <c r="R169" i="28" s="1"/>
  <c r="Q168" i="28"/>
  <c r="J168" i="28"/>
  <c r="T168" i="28" s="1"/>
  <c r="G168" i="28"/>
  <c r="S168" i="28" s="1"/>
  <c r="D168" i="28"/>
  <c r="R168" i="28" s="1"/>
  <c r="Q167" i="28"/>
  <c r="J167" i="28"/>
  <c r="T167" i="28" s="1"/>
  <c r="G167" i="28"/>
  <c r="S167" i="28" s="1"/>
  <c r="D167" i="28"/>
  <c r="R167" i="28" s="1"/>
  <c r="Q166" i="28"/>
  <c r="J166" i="28"/>
  <c r="T166" i="28" s="1"/>
  <c r="G166" i="28"/>
  <c r="S166" i="28" s="1"/>
  <c r="D166" i="28"/>
  <c r="R166" i="28" s="1"/>
  <c r="Q165" i="28"/>
  <c r="J165" i="28"/>
  <c r="T165" i="28" s="1"/>
  <c r="G165" i="28"/>
  <c r="S165" i="28" s="1"/>
  <c r="D165" i="28"/>
  <c r="R165" i="28" s="1"/>
  <c r="Q164" i="28"/>
  <c r="M164" i="28"/>
  <c r="J164" i="28"/>
  <c r="T164" i="28" s="1"/>
  <c r="G164" i="28"/>
  <c r="S164" i="28" s="1"/>
  <c r="D164" i="28"/>
  <c r="R164" i="28" s="1"/>
  <c r="Q163" i="28"/>
  <c r="M163" i="28"/>
  <c r="J163" i="28"/>
  <c r="T163" i="28" s="1"/>
  <c r="G163" i="28"/>
  <c r="S163" i="28" s="1"/>
  <c r="D163" i="28"/>
  <c r="R163" i="28" s="1"/>
  <c r="Q162" i="28"/>
  <c r="M162" i="28"/>
  <c r="J162" i="28"/>
  <c r="T162" i="28" s="1"/>
  <c r="G162" i="28"/>
  <c r="S162" i="28" s="1"/>
  <c r="D162" i="28"/>
  <c r="R162" i="28" s="1"/>
  <c r="Q161" i="28"/>
  <c r="M161" i="28"/>
  <c r="J161" i="28"/>
  <c r="T161" i="28" s="1"/>
  <c r="G161" i="28"/>
  <c r="S161" i="28" s="1"/>
  <c r="D161" i="28"/>
  <c r="R161" i="28" s="1"/>
  <c r="Q160" i="28"/>
  <c r="M160" i="28"/>
  <c r="J160" i="28"/>
  <c r="T160" i="28" s="1"/>
  <c r="G160" i="28"/>
  <c r="S160" i="28" s="1"/>
  <c r="D160" i="28"/>
  <c r="R160" i="28" s="1"/>
  <c r="Q159" i="28"/>
  <c r="M159" i="28"/>
  <c r="J159" i="28"/>
  <c r="T159" i="28" s="1"/>
  <c r="G159" i="28"/>
  <c r="S159" i="28" s="1"/>
  <c r="D159" i="28"/>
  <c r="R159" i="28" s="1"/>
  <c r="Q158" i="28"/>
  <c r="M158" i="28"/>
  <c r="J158" i="28"/>
  <c r="T158" i="28" s="1"/>
  <c r="G158" i="28"/>
  <c r="S158" i="28" s="1"/>
  <c r="D158" i="28"/>
  <c r="R158" i="28" s="1"/>
  <c r="Q157" i="28"/>
  <c r="M157" i="28"/>
  <c r="J157" i="28"/>
  <c r="T157" i="28" s="1"/>
  <c r="G157" i="28"/>
  <c r="S157" i="28" s="1"/>
  <c r="D157" i="28"/>
  <c r="R157" i="28" s="1"/>
  <c r="Q156" i="28"/>
  <c r="M156" i="28"/>
  <c r="J156" i="28"/>
  <c r="T156" i="28" s="1"/>
  <c r="G156" i="28"/>
  <c r="S156" i="28" s="1"/>
  <c r="D156" i="28"/>
  <c r="R156" i="28" s="1"/>
  <c r="Q154" i="28"/>
  <c r="J154" i="28"/>
  <c r="T154" i="28" s="1"/>
  <c r="G154" i="28"/>
  <c r="S154" i="28" s="1"/>
  <c r="D154" i="28"/>
  <c r="Q153" i="28"/>
  <c r="J153" i="28"/>
  <c r="G153" i="28"/>
  <c r="D153" i="28"/>
  <c r="Q152" i="28"/>
  <c r="J152" i="28"/>
  <c r="G152" i="28"/>
  <c r="D152" i="28"/>
  <c r="R152" i="28" s="1"/>
  <c r="Q151" i="28"/>
  <c r="J151" i="28"/>
  <c r="T151" i="28" s="1"/>
  <c r="G151" i="28"/>
  <c r="D151" i="28"/>
  <c r="R151" i="28" s="1"/>
  <c r="Q150" i="28"/>
  <c r="J150" i="28"/>
  <c r="T150" i="28" s="1"/>
  <c r="G150" i="28"/>
  <c r="D150" i="28"/>
  <c r="Q149" i="28"/>
  <c r="J149" i="28"/>
  <c r="G149" i="28"/>
  <c r="D149" i="28"/>
  <c r="Q148" i="28"/>
  <c r="J148" i="28"/>
  <c r="J259" i="28" s="1"/>
  <c r="T259" i="28" s="1"/>
  <c r="G148" i="28"/>
  <c r="D148" i="28"/>
  <c r="Q147" i="28"/>
  <c r="J147" i="28"/>
  <c r="G147" i="28"/>
  <c r="D147" i="28"/>
  <c r="Q146" i="28"/>
  <c r="J146" i="28"/>
  <c r="T146" i="28" s="1"/>
  <c r="G146" i="28"/>
  <c r="S146" i="28" s="1"/>
  <c r="D146" i="28"/>
  <c r="Q145" i="28"/>
  <c r="J145" i="28"/>
  <c r="T145" i="28" s="1"/>
  <c r="G145" i="28"/>
  <c r="D145" i="28"/>
  <c r="Q144" i="28"/>
  <c r="J144" i="28"/>
  <c r="G144" i="28"/>
  <c r="S144" i="28" s="1"/>
  <c r="D144" i="28"/>
  <c r="R144" i="28" s="1"/>
  <c r="Q143" i="28"/>
  <c r="J143" i="28"/>
  <c r="T143" i="28" s="1"/>
  <c r="G143" i="28"/>
  <c r="D143" i="28"/>
  <c r="Q142" i="28"/>
  <c r="M142" i="28"/>
  <c r="J142" i="28"/>
  <c r="T142" i="28" s="1"/>
  <c r="G142" i="28"/>
  <c r="S142" i="28" s="1"/>
  <c r="D142" i="28"/>
  <c r="Q141" i="28"/>
  <c r="M141" i="28"/>
  <c r="J141" i="28"/>
  <c r="T141" i="28" s="1"/>
  <c r="G141" i="28"/>
  <c r="D141" i="28"/>
  <c r="R141" i="28" s="1"/>
  <c r="Q140" i="28"/>
  <c r="M140" i="28"/>
  <c r="J140" i="28"/>
  <c r="G140" i="28"/>
  <c r="D140" i="28"/>
  <c r="R140" i="28" s="1"/>
  <c r="Q139" i="28"/>
  <c r="M139" i="28"/>
  <c r="J139" i="28"/>
  <c r="T139" i="28" s="1"/>
  <c r="G139" i="28"/>
  <c r="S139" i="28" s="1"/>
  <c r="D139" i="28"/>
  <c r="R139" i="28" s="1"/>
  <c r="Q138" i="28"/>
  <c r="M138" i="28"/>
  <c r="J138" i="28"/>
  <c r="T138" i="28" s="1"/>
  <c r="G138" i="28"/>
  <c r="S138" i="28" s="1"/>
  <c r="D138" i="28"/>
  <c r="R138" i="28" s="1"/>
  <c r="Q137" i="28"/>
  <c r="M137" i="28"/>
  <c r="J137" i="28"/>
  <c r="T137" i="28" s="1"/>
  <c r="G137" i="28"/>
  <c r="D137" i="28"/>
  <c r="R137" i="28" s="1"/>
  <c r="Q136" i="28"/>
  <c r="M136" i="28"/>
  <c r="J136" i="28"/>
  <c r="T136" i="28" s="1"/>
  <c r="G136" i="28"/>
  <c r="S136" i="28" s="1"/>
  <c r="D136" i="28"/>
  <c r="R136" i="28" s="1"/>
  <c r="Q135" i="28"/>
  <c r="M135" i="28"/>
  <c r="J135" i="28"/>
  <c r="T135" i="28" s="1"/>
  <c r="G135" i="28"/>
  <c r="D135" i="28"/>
  <c r="R135" i="28" s="1"/>
  <c r="Q134" i="28"/>
  <c r="M134" i="28"/>
  <c r="J134" i="28"/>
  <c r="T134" i="28" s="1"/>
  <c r="G134" i="28"/>
  <c r="S134" i="28" s="1"/>
  <c r="D134" i="28"/>
  <c r="R134" i="28" s="1"/>
  <c r="Q132" i="28"/>
  <c r="J132" i="28"/>
  <c r="T132" i="28" s="1"/>
  <c r="G132" i="28"/>
  <c r="S132" i="28" s="1"/>
  <c r="D132" i="28"/>
  <c r="R132" i="28" s="1"/>
  <c r="Q131" i="28"/>
  <c r="J131" i="28"/>
  <c r="G131" i="28"/>
  <c r="D131" i="28"/>
  <c r="R131" i="28" s="1"/>
  <c r="Q130" i="28"/>
  <c r="J130" i="28"/>
  <c r="G130" i="28"/>
  <c r="S130" i="28" s="1"/>
  <c r="D130" i="28"/>
  <c r="Q129" i="28"/>
  <c r="J129" i="28"/>
  <c r="T129" i="28" s="1"/>
  <c r="G129" i="28"/>
  <c r="D129" i="28"/>
  <c r="Q128" i="28"/>
  <c r="J128" i="28"/>
  <c r="G128" i="28"/>
  <c r="D128" i="28"/>
  <c r="Q127" i="28"/>
  <c r="J127" i="28"/>
  <c r="G127" i="28"/>
  <c r="D127" i="28"/>
  <c r="Q126" i="28"/>
  <c r="J126" i="28"/>
  <c r="G126" i="28"/>
  <c r="S126" i="28" s="1"/>
  <c r="D126" i="28"/>
  <c r="Q125" i="28"/>
  <c r="J125" i="28"/>
  <c r="T125" i="28" s="1"/>
  <c r="G125" i="28"/>
  <c r="D125" i="28"/>
  <c r="Q124" i="28"/>
  <c r="J124" i="28"/>
  <c r="T124" i="28" s="1"/>
  <c r="G124" i="28"/>
  <c r="S124" i="28" s="1"/>
  <c r="D124" i="28"/>
  <c r="Q123" i="28"/>
  <c r="J123" i="28"/>
  <c r="T123" i="28" s="1"/>
  <c r="G123" i="28"/>
  <c r="S123" i="28" s="1"/>
  <c r="D123" i="28"/>
  <c r="R123" i="28" s="1"/>
  <c r="Q122" i="28"/>
  <c r="J122" i="28"/>
  <c r="G122" i="28"/>
  <c r="S122" i="28" s="1"/>
  <c r="D122" i="28"/>
  <c r="R122" i="28" s="1"/>
  <c r="Q121" i="28"/>
  <c r="J121" i="28"/>
  <c r="G121" i="28"/>
  <c r="D121" i="28"/>
  <c r="R121" i="28" s="1"/>
  <c r="Q120" i="28"/>
  <c r="M120" i="28"/>
  <c r="J120" i="28"/>
  <c r="G120" i="28"/>
  <c r="D120" i="28"/>
  <c r="Q119" i="28"/>
  <c r="M119" i="28"/>
  <c r="J119" i="28"/>
  <c r="G119" i="28"/>
  <c r="S119" i="28" s="1"/>
  <c r="D119" i="28"/>
  <c r="R119" i="28" s="1"/>
  <c r="Q118" i="28"/>
  <c r="M118" i="28"/>
  <c r="J118" i="28"/>
  <c r="G118" i="28"/>
  <c r="D118" i="28"/>
  <c r="Q117" i="28"/>
  <c r="M117" i="28"/>
  <c r="J117" i="28"/>
  <c r="G117" i="28"/>
  <c r="D117" i="28"/>
  <c r="R117" i="28" s="1"/>
  <c r="Q116" i="28"/>
  <c r="M116" i="28"/>
  <c r="J116" i="28"/>
  <c r="G116" i="28"/>
  <c r="D116" i="28"/>
  <c r="R116" i="28" s="1"/>
  <c r="Q115" i="28"/>
  <c r="M115" i="28"/>
  <c r="J115" i="28"/>
  <c r="T115" i="28" s="1"/>
  <c r="G115" i="28"/>
  <c r="S115" i="28" s="1"/>
  <c r="D115" i="28"/>
  <c r="R115" i="28" s="1"/>
  <c r="Q114" i="28"/>
  <c r="M114" i="28"/>
  <c r="J114" i="28"/>
  <c r="G114" i="28"/>
  <c r="D114" i="28"/>
  <c r="Q113" i="28"/>
  <c r="M113" i="28"/>
  <c r="J113" i="28"/>
  <c r="T113" i="28" s="1"/>
  <c r="G113" i="28"/>
  <c r="S113" i="28" s="1"/>
  <c r="D113" i="28"/>
  <c r="Q112" i="28"/>
  <c r="M112" i="28"/>
  <c r="J112" i="28"/>
  <c r="G112" i="28"/>
  <c r="D112" i="28"/>
  <c r="Q110" i="28"/>
  <c r="J110" i="28"/>
  <c r="G110" i="28"/>
  <c r="S110" i="28" s="1"/>
  <c r="D110" i="28"/>
  <c r="R110" i="28" s="1"/>
  <c r="Q109" i="28"/>
  <c r="J109" i="28"/>
  <c r="T109" i="28" s="1"/>
  <c r="G109" i="28"/>
  <c r="S109" i="28" s="1"/>
  <c r="D109" i="28"/>
  <c r="R109" i="28" s="1"/>
  <c r="Q108" i="28"/>
  <c r="J108" i="28"/>
  <c r="T108" i="28" s="1"/>
  <c r="G108" i="28"/>
  <c r="S108" i="28" s="1"/>
  <c r="D108" i="28"/>
  <c r="R108" i="28" s="1"/>
  <c r="Q107" i="28"/>
  <c r="J107" i="28"/>
  <c r="T107" i="28" s="1"/>
  <c r="G107" i="28"/>
  <c r="S107" i="28" s="1"/>
  <c r="D107" i="28"/>
  <c r="R107" i="28" s="1"/>
  <c r="Q106" i="28"/>
  <c r="J106" i="28"/>
  <c r="T106" i="28" s="1"/>
  <c r="G106" i="28"/>
  <c r="S106" i="28" s="1"/>
  <c r="D106" i="28"/>
  <c r="R106" i="28" s="1"/>
  <c r="Q105" i="28"/>
  <c r="J105" i="28"/>
  <c r="T105" i="28" s="1"/>
  <c r="G105" i="28"/>
  <c r="S105" i="28" s="1"/>
  <c r="D105" i="28"/>
  <c r="R105" i="28" s="1"/>
  <c r="Q104" i="28"/>
  <c r="J104" i="28"/>
  <c r="T104" i="28" s="1"/>
  <c r="G104" i="28"/>
  <c r="S104" i="28" s="1"/>
  <c r="D104" i="28"/>
  <c r="R104" i="28" s="1"/>
  <c r="Q103" i="28"/>
  <c r="J103" i="28"/>
  <c r="T103" i="28" s="1"/>
  <c r="G103" i="28"/>
  <c r="S103" i="28" s="1"/>
  <c r="D103" i="28"/>
  <c r="R103" i="28" s="1"/>
  <c r="Q102" i="28"/>
  <c r="J102" i="28"/>
  <c r="T102" i="28" s="1"/>
  <c r="G102" i="28"/>
  <c r="S102" i="28" s="1"/>
  <c r="D102" i="28"/>
  <c r="R102" i="28" s="1"/>
  <c r="Q101" i="28"/>
  <c r="J101" i="28"/>
  <c r="T101" i="28" s="1"/>
  <c r="G101" i="28"/>
  <c r="S101" i="28" s="1"/>
  <c r="D101" i="28"/>
  <c r="R101" i="28" s="1"/>
  <c r="Q100" i="28"/>
  <c r="J100" i="28"/>
  <c r="T100" i="28" s="1"/>
  <c r="G100" i="28"/>
  <c r="S100" i="28" s="1"/>
  <c r="D100" i="28"/>
  <c r="R100" i="28" s="1"/>
  <c r="Q99" i="28"/>
  <c r="J99" i="28"/>
  <c r="T99" i="28" s="1"/>
  <c r="G99" i="28"/>
  <c r="S99" i="28" s="1"/>
  <c r="D99" i="28"/>
  <c r="R99" i="28" s="1"/>
  <c r="Q98" i="28"/>
  <c r="M98" i="28"/>
  <c r="J98" i="28"/>
  <c r="T98" i="28" s="1"/>
  <c r="G98" i="28"/>
  <c r="S98" i="28" s="1"/>
  <c r="D98" i="28"/>
  <c r="R98" i="28" s="1"/>
  <c r="Q97" i="28"/>
  <c r="M97" i="28"/>
  <c r="J97" i="28"/>
  <c r="T97" i="28" s="1"/>
  <c r="G97" i="28"/>
  <c r="S97" i="28" s="1"/>
  <c r="D97" i="28"/>
  <c r="R97" i="28" s="1"/>
  <c r="Q96" i="28"/>
  <c r="M96" i="28"/>
  <c r="J96" i="28"/>
  <c r="T96" i="28" s="1"/>
  <c r="G96" i="28"/>
  <c r="S96" i="28" s="1"/>
  <c r="D96" i="28"/>
  <c r="R96" i="28" s="1"/>
  <c r="Q95" i="28"/>
  <c r="M95" i="28"/>
  <c r="J95" i="28"/>
  <c r="T95" i="28" s="1"/>
  <c r="G95" i="28"/>
  <c r="S95" i="28" s="1"/>
  <c r="D95" i="28"/>
  <c r="R95" i="28" s="1"/>
  <c r="Q94" i="28"/>
  <c r="M94" i="28"/>
  <c r="J94" i="28"/>
  <c r="G94" i="28"/>
  <c r="S94" i="28" s="1"/>
  <c r="D94" i="28"/>
  <c r="R94" i="28" s="1"/>
  <c r="Q93" i="28"/>
  <c r="M93" i="28"/>
  <c r="J93" i="28"/>
  <c r="T93" i="28" s="1"/>
  <c r="G93" i="28"/>
  <c r="S93" i="28" s="1"/>
  <c r="D93" i="28"/>
  <c r="R93" i="28" s="1"/>
  <c r="Q92" i="28"/>
  <c r="M92" i="28"/>
  <c r="J92" i="28"/>
  <c r="T92" i="28" s="1"/>
  <c r="G92" i="28"/>
  <c r="S92" i="28" s="1"/>
  <c r="D92" i="28"/>
  <c r="R92" i="28" s="1"/>
  <c r="Q91" i="28"/>
  <c r="M91" i="28"/>
  <c r="J91" i="28"/>
  <c r="T91" i="28" s="1"/>
  <c r="G91" i="28"/>
  <c r="S91" i="28" s="1"/>
  <c r="D91" i="28"/>
  <c r="Q90" i="28"/>
  <c r="M90" i="28"/>
  <c r="J90" i="28"/>
  <c r="T90" i="28" s="1"/>
  <c r="G90" i="28"/>
  <c r="D90" i="28"/>
  <c r="R90" i="28" s="1"/>
  <c r="Q88" i="28"/>
  <c r="J88" i="28"/>
  <c r="T88" i="28" s="1"/>
  <c r="G88" i="28"/>
  <c r="S88" i="28" s="1"/>
  <c r="D88" i="28"/>
  <c r="R88" i="28" s="1"/>
  <c r="Q87" i="28"/>
  <c r="J87" i="28"/>
  <c r="T87" i="28" s="1"/>
  <c r="G87" i="28"/>
  <c r="S87" i="28" s="1"/>
  <c r="D87" i="28"/>
  <c r="R87" i="28" s="1"/>
  <c r="Q86" i="28"/>
  <c r="J86" i="28"/>
  <c r="T86" i="28" s="1"/>
  <c r="G86" i="28"/>
  <c r="S86" i="28" s="1"/>
  <c r="D86" i="28"/>
  <c r="R86" i="28" s="1"/>
  <c r="Q85" i="28"/>
  <c r="J85" i="28"/>
  <c r="T85" i="28" s="1"/>
  <c r="G85" i="28"/>
  <c r="S85" i="28" s="1"/>
  <c r="D85" i="28"/>
  <c r="R85" i="28" s="1"/>
  <c r="Q84" i="28"/>
  <c r="J84" i="28"/>
  <c r="T84" i="28" s="1"/>
  <c r="G84" i="28"/>
  <c r="S84" i="28" s="1"/>
  <c r="D84" i="28"/>
  <c r="R84" i="28" s="1"/>
  <c r="Q83" i="28"/>
  <c r="J83" i="28"/>
  <c r="T83" i="28" s="1"/>
  <c r="G83" i="28"/>
  <c r="S83" i="28" s="1"/>
  <c r="D83" i="28"/>
  <c r="R83" i="28" s="1"/>
  <c r="Q82" i="28"/>
  <c r="J82" i="28"/>
  <c r="T82" i="28" s="1"/>
  <c r="G82" i="28"/>
  <c r="S82" i="28" s="1"/>
  <c r="D82" i="28"/>
  <c r="R82" i="28" s="1"/>
  <c r="Q81" i="28"/>
  <c r="J81" i="28"/>
  <c r="T81" i="28" s="1"/>
  <c r="G81" i="28"/>
  <c r="S81" i="28" s="1"/>
  <c r="D81" i="28"/>
  <c r="R81" i="28" s="1"/>
  <c r="Q80" i="28"/>
  <c r="J80" i="28"/>
  <c r="T80" i="28" s="1"/>
  <c r="G80" i="28"/>
  <c r="S80" i="28" s="1"/>
  <c r="D80" i="28"/>
  <c r="R80" i="28" s="1"/>
  <c r="Q79" i="28"/>
  <c r="J79" i="28"/>
  <c r="T79" i="28" s="1"/>
  <c r="G79" i="28"/>
  <c r="S79" i="28" s="1"/>
  <c r="D79" i="28"/>
  <c r="R79" i="28" s="1"/>
  <c r="Q78" i="28"/>
  <c r="J78" i="28"/>
  <c r="T78" i="28" s="1"/>
  <c r="G78" i="28"/>
  <c r="S78" i="28" s="1"/>
  <c r="D78" i="28"/>
  <c r="Q77" i="28"/>
  <c r="J77" i="28"/>
  <c r="T77" i="28" s="1"/>
  <c r="G77" i="28"/>
  <c r="S77" i="28" s="1"/>
  <c r="D77" i="28"/>
  <c r="R77" i="28" s="1"/>
  <c r="Q76" i="28"/>
  <c r="M76" i="28"/>
  <c r="J76" i="28"/>
  <c r="T76" i="28" s="1"/>
  <c r="G76" i="28"/>
  <c r="S76" i="28" s="1"/>
  <c r="D76" i="28"/>
  <c r="R76" i="28" s="1"/>
  <c r="Q75" i="28"/>
  <c r="M75" i="28"/>
  <c r="J75" i="28"/>
  <c r="T75" i="28" s="1"/>
  <c r="G75" i="28"/>
  <c r="S75" i="28" s="1"/>
  <c r="D75" i="28"/>
  <c r="R75" i="28" s="1"/>
  <c r="Q74" i="28"/>
  <c r="M74" i="28"/>
  <c r="J74" i="28"/>
  <c r="T74" i="28" s="1"/>
  <c r="G74" i="28"/>
  <c r="S74" i="28" s="1"/>
  <c r="D74" i="28"/>
  <c r="R74" i="28" s="1"/>
  <c r="Q73" i="28"/>
  <c r="M73" i="28"/>
  <c r="J73" i="28"/>
  <c r="T73" i="28" s="1"/>
  <c r="G73" i="28"/>
  <c r="S73" i="28" s="1"/>
  <c r="D73" i="28"/>
  <c r="R73" i="28" s="1"/>
  <c r="Q72" i="28"/>
  <c r="M72" i="28"/>
  <c r="J72" i="28"/>
  <c r="T72" i="28" s="1"/>
  <c r="G72" i="28"/>
  <c r="S72" i="28" s="1"/>
  <c r="D72" i="28"/>
  <c r="R72" i="28" s="1"/>
  <c r="Q71" i="28"/>
  <c r="M71" i="28"/>
  <c r="J71" i="28"/>
  <c r="T71" i="28" s="1"/>
  <c r="G71" i="28"/>
  <c r="S71" i="28" s="1"/>
  <c r="D71" i="28"/>
  <c r="R71" i="28" s="1"/>
  <c r="Q70" i="28"/>
  <c r="M70" i="28"/>
  <c r="J70" i="28"/>
  <c r="T70" i="28" s="1"/>
  <c r="G70" i="28"/>
  <c r="S70" i="28" s="1"/>
  <c r="D70" i="28"/>
  <c r="R70" i="28" s="1"/>
  <c r="Q69" i="28"/>
  <c r="M69" i="28"/>
  <c r="J69" i="28"/>
  <c r="T69" i="28" s="1"/>
  <c r="G69" i="28"/>
  <c r="S69" i="28" s="1"/>
  <c r="D69" i="28"/>
  <c r="R69" i="28" s="1"/>
  <c r="Q68" i="28"/>
  <c r="M68" i="28"/>
  <c r="J68" i="28"/>
  <c r="T68" i="28" s="1"/>
  <c r="G68" i="28"/>
  <c r="S68" i="28" s="1"/>
  <c r="D68" i="28"/>
  <c r="R68" i="28" s="1"/>
  <c r="Q66" i="28"/>
  <c r="J66" i="28"/>
  <c r="T66" i="28" s="1"/>
  <c r="G66" i="28"/>
  <c r="S66" i="28" s="1"/>
  <c r="D66" i="28"/>
  <c r="R66" i="28" s="1"/>
  <c r="Q65" i="28"/>
  <c r="J65" i="28"/>
  <c r="T65" i="28" s="1"/>
  <c r="G65" i="28"/>
  <c r="S65" i="28" s="1"/>
  <c r="D65" i="28"/>
  <c r="R65" i="28" s="1"/>
  <c r="S64" i="28"/>
  <c r="Q64" i="28"/>
  <c r="J64" i="28"/>
  <c r="T64" i="28" s="1"/>
  <c r="G64" i="28"/>
  <c r="D64" i="28"/>
  <c r="R64" i="28" s="1"/>
  <c r="S63" i="28"/>
  <c r="Q63" i="28"/>
  <c r="J63" i="28"/>
  <c r="T63" i="28" s="1"/>
  <c r="G63" i="28"/>
  <c r="D63" i="28"/>
  <c r="R63" i="28" s="1"/>
  <c r="Q62" i="28"/>
  <c r="J62" i="28"/>
  <c r="T62" i="28" s="1"/>
  <c r="G62" i="28"/>
  <c r="S62" i="28" s="1"/>
  <c r="D62" i="28"/>
  <c r="R62" i="28" s="1"/>
  <c r="Q61" i="28"/>
  <c r="J61" i="28"/>
  <c r="T61" i="28" s="1"/>
  <c r="G61" i="28"/>
  <c r="S61" i="28" s="1"/>
  <c r="D61" i="28"/>
  <c r="R61" i="28" s="1"/>
  <c r="Q60" i="28"/>
  <c r="J60" i="28"/>
  <c r="T60" i="28" s="1"/>
  <c r="G60" i="28"/>
  <c r="S60" i="28" s="1"/>
  <c r="D60" i="28"/>
  <c r="R60" i="28" s="1"/>
  <c r="Q59" i="28"/>
  <c r="J59" i="28"/>
  <c r="T59" i="28" s="1"/>
  <c r="G59" i="28"/>
  <c r="S59" i="28" s="1"/>
  <c r="D59" i="28"/>
  <c r="R59" i="28" s="1"/>
  <c r="Q58" i="28"/>
  <c r="J58" i="28"/>
  <c r="T58" i="28" s="1"/>
  <c r="G58" i="28"/>
  <c r="S58" i="28" s="1"/>
  <c r="D58" i="28"/>
  <c r="R58" i="28" s="1"/>
  <c r="Q57" i="28"/>
  <c r="J57" i="28"/>
  <c r="T57" i="28" s="1"/>
  <c r="G57" i="28"/>
  <c r="S57" i="28" s="1"/>
  <c r="D57" i="28"/>
  <c r="R57" i="28" s="1"/>
  <c r="Q56" i="28"/>
  <c r="J56" i="28"/>
  <c r="T56" i="28" s="1"/>
  <c r="G56" i="28"/>
  <c r="S56" i="28" s="1"/>
  <c r="D56" i="28"/>
  <c r="R56" i="28" s="1"/>
  <c r="Q55" i="28"/>
  <c r="J55" i="28"/>
  <c r="T55" i="28" s="1"/>
  <c r="G55" i="28"/>
  <c r="S55" i="28" s="1"/>
  <c r="D55" i="28"/>
  <c r="R55" i="28" s="1"/>
  <c r="Q54" i="28"/>
  <c r="M54" i="28"/>
  <c r="J54" i="28"/>
  <c r="T54" i="28" s="1"/>
  <c r="G54" i="28"/>
  <c r="S54" i="28" s="1"/>
  <c r="D54" i="28"/>
  <c r="R54" i="28" s="1"/>
  <c r="Q53" i="28"/>
  <c r="M53" i="28"/>
  <c r="J53" i="28"/>
  <c r="T53" i="28" s="1"/>
  <c r="G53" i="28"/>
  <c r="S53" i="28" s="1"/>
  <c r="D53" i="28"/>
  <c r="R53" i="28" s="1"/>
  <c r="Q52" i="28"/>
  <c r="M52" i="28"/>
  <c r="J52" i="28"/>
  <c r="T52" i="28" s="1"/>
  <c r="G52" i="28"/>
  <c r="S52" i="28" s="1"/>
  <c r="D52" i="28"/>
  <c r="R52" i="28" s="1"/>
  <c r="Q51" i="28"/>
  <c r="M51" i="28"/>
  <c r="J51" i="28"/>
  <c r="T51" i="28" s="1"/>
  <c r="G51" i="28"/>
  <c r="S51" i="28" s="1"/>
  <c r="D51" i="28"/>
  <c r="R51" i="28" s="1"/>
  <c r="Q50" i="28"/>
  <c r="M50" i="28"/>
  <c r="J50" i="28"/>
  <c r="T50" i="28" s="1"/>
  <c r="G50" i="28"/>
  <c r="S50" i="28" s="1"/>
  <c r="D50" i="28"/>
  <c r="R50" i="28" s="1"/>
  <c r="Q49" i="28"/>
  <c r="M49" i="28"/>
  <c r="J49" i="28"/>
  <c r="T49" i="28" s="1"/>
  <c r="G49" i="28"/>
  <c r="S49" i="28" s="1"/>
  <c r="D49" i="28"/>
  <c r="R49" i="28" s="1"/>
  <c r="Q48" i="28"/>
  <c r="M48" i="28"/>
  <c r="J48" i="28"/>
  <c r="T48" i="28" s="1"/>
  <c r="G48" i="28"/>
  <c r="S48" i="28" s="1"/>
  <c r="D48" i="28"/>
  <c r="R48" i="28" s="1"/>
  <c r="Q47" i="28"/>
  <c r="M47" i="28"/>
  <c r="J47" i="28"/>
  <c r="T47" i="28" s="1"/>
  <c r="G47" i="28"/>
  <c r="S47" i="28" s="1"/>
  <c r="D47" i="28"/>
  <c r="R47" i="28" s="1"/>
  <c r="Q46" i="28"/>
  <c r="M46" i="28"/>
  <c r="J46" i="28"/>
  <c r="T46" i="28" s="1"/>
  <c r="G46" i="28"/>
  <c r="S46" i="28" s="1"/>
  <c r="D46" i="28"/>
  <c r="R46" i="28" s="1"/>
  <c r="Q44" i="28"/>
  <c r="J44" i="28"/>
  <c r="T44" i="28" s="1"/>
  <c r="G44" i="28"/>
  <c r="S44" i="28" s="1"/>
  <c r="D44" i="28"/>
  <c r="R44" i="28" s="1"/>
  <c r="Q43" i="28"/>
  <c r="J43" i="28"/>
  <c r="T43" i="28" s="1"/>
  <c r="G43" i="28"/>
  <c r="S43" i="28" s="1"/>
  <c r="D43" i="28"/>
  <c r="R43" i="28" s="1"/>
  <c r="Q42" i="28"/>
  <c r="J42" i="28"/>
  <c r="T42" i="28" s="1"/>
  <c r="G42" i="28"/>
  <c r="S42" i="28" s="1"/>
  <c r="D42" i="28"/>
  <c r="R42" i="28" s="1"/>
  <c r="Q41" i="28"/>
  <c r="J41" i="28"/>
  <c r="T41" i="28" s="1"/>
  <c r="G41" i="28"/>
  <c r="S41" i="28" s="1"/>
  <c r="D41" i="28"/>
  <c r="R41" i="28" s="1"/>
  <c r="Q40" i="28"/>
  <c r="J40" i="28"/>
  <c r="T40" i="28" s="1"/>
  <c r="G40" i="28"/>
  <c r="S40" i="28" s="1"/>
  <c r="D40" i="28"/>
  <c r="R40" i="28" s="1"/>
  <c r="Q39" i="28"/>
  <c r="J39" i="28"/>
  <c r="T39" i="28" s="1"/>
  <c r="G39" i="28"/>
  <c r="S39" i="28" s="1"/>
  <c r="D39" i="28"/>
  <c r="R39" i="28" s="1"/>
  <c r="Q38" i="28"/>
  <c r="J38" i="28"/>
  <c r="T38" i="28" s="1"/>
  <c r="G38" i="28"/>
  <c r="S38" i="28" s="1"/>
  <c r="D38" i="28"/>
  <c r="R38" i="28" s="1"/>
  <c r="Q37" i="28"/>
  <c r="J37" i="28"/>
  <c r="T37" i="28" s="1"/>
  <c r="G37" i="28"/>
  <c r="S37" i="28" s="1"/>
  <c r="D37" i="28"/>
  <c r="R37" i="28" s="1"/>
  <c r="Q36" i="28"/>
  <c r="J36" i="28"/>
  <c r="T36" i="28" s="1"/>
  <c r="G36" i="28"/>
  <c r="S36" i="28" s="1"/>
  <c r="D36" i="28"/>
  <c r="R36" i="28" s="1"/>
  <c r="Q35" i="28"/>
  <c r="J35" i="28"/>
  <c r="T35" i="28" s="1"/>
  <c r="G35" i="28"/>
  <c r="S35" i="28" s="1"/>
  <c r="D35" i="28"/>
  <c r="R35" i="28" s="1"/>
  <c r="Q34" i="28"/>
  <c r="J34" i="28"/>
  <c r="T34" i="28" s="1"/>
  <c r="G34" i="28"/>
  <c r="S34" i="28" s="1"/>
  <c r="D34" i="28"/>
  <c r="R34" i="28" s="1"/>
  <c r="Q33" i="28"/>
  <c r="J33" i="28"/>
  <c r="T33" i="28" s="1"/>
  <c r="G33" i="28"/>
  <c r="S33" i="28" s="1"/>
  <c r="D33" i="28"/>
  <c r="R33" i="28" s="1"/>
  <c r="Q32" i="28"/>
  <c r="M32" i="28"/>
  <c r="J32" i="28"/>
  <c r="T32" i="28" s="1"/>
  <c r="G32" i="28"/>
  <c r="S32" i="28" s="1"/>
  <c r="D32" i="28"/>
  <c r="R32" i="28" s="1"/>
  <c r="Q31" i="28"/>
  <c r="M31" i="28"/>
  <c r="J31" i="28"/>
  <c r="T31" i="28" s="1"/>
  <c r="G31" i="28"/>
  <c r="S31" i="28" s="1"/>
  <c r="D31" i="28"/>
  <c r="R31" i="28" s="1"/>
  <c r="Q30" i="28"/>
  <c r="M30" i="28"/>
  <c r="J30" i="28"/>
  <c r="T30" i="28" s="1"/>
  <c r="G30" i="28"/>
  <c r="S30" i="28" s="1"/>
  <c r="D30" i="28"/>
  <c r="R30" i="28" s="1"/>
  <c r="Q29" i="28"/>
  <c r="M29" i="28"/>
  <c r="J29" i="28"/>
  <c r="T29" i="28" s="1"/>
  <c r="G29" i="28"/>
  <c r="S29" i="28" s="1"/>
  <c r="D29" i="28"/>
  <c r="R29" i="28" s="1"/>
  <c r="Q28" i="28"/>
  <c r="M28" i="28"/>
  <c r="J28" i="28"/>
  <c r="T28" i="28" s="1"/>
  <c r="G28" i="28"/>
  <c r="D28" i="28"/>
  <c r="R28" i="28" s="1"/>
  <c r="Q27" i="28"/>
  <c r="M27" i="28"/>
  <c r="J27" i="28"/>
  <c r="T27" i="28" s="1"/>
  <c r="G27" i="28"/>
  <c r="S27" i="28" s="1"/>
  <c r="D27" i="28"/>
  <c r="R27" i="28" s="1"/>
  <c r="Q26" i="28"/>
  <c r="M26" i="28"/>
  <c r="J26" i="28"/>
  <c r="T26" i="28" s="1"/>
  <c r="G26" i="28"/>
  <c r="D26" i="28"/>
  <c r="R26" i="28" s="1"/>
  <c r="Q25" i="28"/>
  <c r="M25" i="28"/>
  <c r="J25" i="28"/>
  <c r="T25" i="28" s="1"/>
  <c r="G25" i="28"/>
  <c r="S25" i="28" s="1"/>
  <c r="D25" i="28"/>
  <c r="R25" i="28" s="1"/>
  <c r="Q24" i="28"/>
  <c r="M24" i="28"/>
  <c r="J24" i="28"/>
  <c r="T24" i="28" s="1"/>
  <c r="G24" i="28"/>
  <c r="S24" i="28" s="1"/>
  <c r="D24" i="28"/>
  <c r="R24" i="28" s="1"/>
  <c r="Q22" i="28"/>
  <c r="J22" i="28"/>
  <c r="G22" i="28"/>
  <c r="D22" i="28"/>
  <c r="Q21" i="28"/>
  <c r="J21" i="28"/>
  <c r="G21" i="28"/>
  <c r="S21" i="28" s="1"/>
  <c r="D21" i="28"/>
  <c r="Q20" i="28"/>
  <c r="J20" i="28"/>
  <c r="G20" i="28"/>
  <c r="D20" i="28"/>
  <c r="Q19" i="28"/>
  <c r="J19" i="28"/>
  <c r="G19" i="28"/>
  <c r="D19" i="28"/>
  <c r="S18" i="28"/>
  <c r="Q18" i="28"/>
  <c r="J18" i="28"/>
  <c r="T18" i="28" s="1"/>
  <c r="G18" i="28"/>
  <c r="D18" i="28"/>
  <c r="Q17" i="28"/>
  <c r="J17" i="28"/>
  <c r="G17" i="28"/>
  <c r="D17" i="28"/>
  <c r="Q16" i="28"/>
  <c r="J16" i="28"/>
  <c r="G16" i="28"/>
  <c r="D16" i="28"/>
  <c r="Q15" i="28"/>
  <c r="J15" i="28"/>
  <c r="T15" i="28" s="1"/>
  <c r="G15" i="28"/>
  <c r="D15" i="28"/>
  <c r="Q14" i="28"/>
  <c r="J14" i="28"/>
  <c r="T14" i="28" s="1"/>
  <c r="G14" i="28"/>
  <c r="D14" i="28"/>
  <c r="Q13" i="28"/>
  <c r="J13" i="28"/>
  <c r="G13" i="28"/>
  <c r="D13" i="28"/>
  <c r="R13" i="28" s="1"/>
  <c r="Q12" i="28"/>
  <c r="J12" i="28"/>
  <c r="G12" i="28"/>
  <c r="D12" i="28"/>
  <c r="Q11" i="28"/>
  <c r="J11" i="28"/>
  <c r="G11" i="28"/>
  <c r="D11" i="28"/>
  <c r="Q10" i="28"/>
  <c r="M10" i="28"/>
  <c r="J10" i="28"/>
  <c r="G10" i="28"/>
  <c r="S10" i="28" s="1"/>
  <c r="D10" i="28"/>
  <c r="R10" i="28" s="1"/>
  <c r="Q9" i="28"/>
  <c r="M9" i="28"/>
  <c r="J9" i="28"/>
  <c r="G9" i="28"/>
  <c r="D9" i="28"/>
  <c r="R9" i="28" s="1"/>
  <c r="Q8" i="28"/>
  <c r="M8" i="28"/>
  <c r="J8" i="28"/>
  <c r="G8" i="28"/>
  <c r="D8" i="28"/>
  <c r="R8" i="28" s="1"/>
  <c r="Q7" i="28"/>
  <c r="M7" i="28"/>
  <c r="J7" i="28"/>
  <c r="T7" i="28" s="1"/>
  <c r="G7" i="28"/>
  <c r="S7" i="28" s="1"/>
  <c r="D7" i="28"/>
  <c r="Q6" i="28"/>
  <c r="M6" i="28"/>
  <c r="J6" i="28"/>
  <c r="T6" i="28" s="1"/>
  <c r="G6" i="28"/>
  <c r="S6" i="28" s="1"/>
  <c r="D6" i="28"/>
  <c r="Q5" i="28"/>
  <c r="M5" i="28"/>
  <c r="J5" i="28"/>
  <c r="T5" i="28" s="1"/>
  <c r="G5" i="28"/>
  <c r="S5" i="28" s="1"/>
  <c r="D5" i="28"/>
  <c r="R5" i="28" s="1"/>
  <c r="Q4" i="28"/>
  <c r="M4" i="28"/>
  <c r="J4" i="28"/>
  <c r="T4" i="28" s="1"/>
  <c r="G4" i="28"/>
  <c r="S4" i="28" s="1"/>
  <c r="D4" i="28"/>
  <c r="R4" i="28" s="1"/>
  <c r="Q3" i="28"/>
  <c r="M3" i="28"/>
  <c r="J3" i="28"/>
  <c r="T3" i="28" s="1"/>
  <c r="G3" i="28"/>
  <c r="S3" i="28" s="1"/>
  <c r="D3" i="28"/>
  <c r="R3" i="28" s="1"/>
  <c r="Q2" i="28"/>
  <c r="M2" i="28"/>
  <c r="J2" i="28"/>
  <c r="T2" i="28" s="1"/>
  <c r="G2" i="28"/>
  <c r="S2" i="28" s="1"/>
  <c r="D2" i="28"/>
  <c r="O283" i="4"/>
  <c r="D283" i="4"/>
  <c r="O282" i="4"/>
  <c r="D282" i="4"/>
  <c r="O279" i="4"/>
  <c r="O278" i="4"/>
  <c r="O277" i="4"/>
  <c r="D277" i="4"/>
  <c r="O276" i="4"/>
  <c r="D276" i="4"/>
  <c r="O275" i="4"/>
  <c r="D275" i="4"/>
  <c r="O274" i="4"/>
  <c r="D274" i="4"/>
  <c r="O273" i="4"/>
  <c r="D273" i="4"/>
  <c r="O272" i="4"/>
  <c r="D272" i="4"/>
  <c r="O271" i="4"/>
  <c r="D271" i="4"/>
  <c r="O270" i="4"/>
  <c r="D270" i="4"/>
  <c r="O267" i="4"/>
  <c r="O266" i="4"/>
  <c r="L241" i="4"/>
  <c r="L263" i="4" s="1"/>
  <c r="J241" i="4"/>
  <c r="J263" i="4" s="1"/>
  <c r="G241" i="4"/>
  <c r="G263" i="4" s="1"/>
  <c r="H263" i="4" s="1"/>
  <c r="H279" i="4" s="1"/>
  <c r="E241" i="4"/>
  <c r="D241" i="4"/>
  <c r="D263" i="4" s="1"/>
  <c r="D279" i="4" s="1"/>
  <c r="C263" i="4"/>
  <c r="N240" i="4"/>
  <c r="M240" i="4"/>
  <c r="K240" i="4"/>
  <c r="I240" i="4"/>
  <c r="O240" i="4" s="1"/>
  <c r="H240" i="4"/>
  <c r="F240" i="4"/>
  <c r="N239" i="4"/>
  <c r="M239" i="4"/>
  <c r="K239" i="4"/>
  <c r="I239" i="4"/>
  <c r="O239" i="4" s="1"/>
  <c r="H239" i="4"/>
  <c r="F239" i="4"/>
  <c r="N238" i="4"/>
  <c r="M238" i="4"/>
  <c r="K238" i="4"/>
  <c r="I238" i="4"/>
  <c r="O238" i="4" s="1"/>
  <c r="H238" i="4"/>
  <c r="F238" i="4"/>
  <c r="N237" i="4"/>
  <c r="M237" i="4"/>
  <c r="K237" i="4"/>
  <c r="I237" i="4"/>
  <c r="O237" i="4" s="1"/>
  <c r="H237" i="4"/>
  <c r="F237" i="4"/>
  <c r="N236" i="4"/>
  <c r="M236" i="4"/>
  <c r="K236" i="4"/>
  <c r="I236" i="4"/>
  <c r="O236" i="4" s="1"/>
  <c r="H236" i="4"/>
  <c r="F236" i="4"/>
  <c r="N235" i="4"/>
  <c r="M235" i="4"/>
  <c r="K235" i="4"/>
  <c r="I235" i="4"/>
  <c r="O235" i="4" s="1"/>
  <c r="H235" i="4"/>
  <c r="F235" i="4"/>
  <c r="N234" i="4"/>
  <c r="M234" i="4"/>
  <c r="K234" i="4"/>
  <c r="I234" i="4"/>
  <c r="O234" i="4" s="1"/>
  <c r="H234" i="4"/>
  <c r="F234" i="4"/>
  <c r="N233" i="4"/>
  <c r="M233" i="4"/>
  <c r="K233" i="4"/>
  <c r="I233" i="4"/>
  <c r="O233" i="4" s="1"/>
  <c r="H233" i="4"/>
  <c r="F233" i="4"/>
  <c r="N232" i="4"/>
  <c r="M232" i="4"/>
  <c r="K232" i="4"/>
  <c r="I232" i="4"/>
  <c r="O232" i="4" s="1"/>
  <c r="H232" i="4"/>
  <c r="F232" i="4"/>
  <c r="L231" i="4"/>
  <c r="J231" i="4"/>
  <c r="G231" i="4"/>
  <c r="E231" i="4"/>
  <c r="D231" i="4"/>
  <c r="D262" i="4" s="1"/>
  <c r="D278" i="4" s="1"/>
  <c r="C231" i="4"/>
  <c r="C262" i="4" s="1"/>
  <c r="N230" i="4"/>
  <c r="K230" i="4" s="1"/>
  <c r="I230" i="4"/>
  <c r="N229" i="4"/>
  <c r="M229" i="4" s="1"/>
  <c r="I229" i="4"/>
  <c r="N228" i="4"/>
  <c r="K228" i="4" s="1"/>
  <c r="I228" i="4"/>
  <c r="N227" i="4"/>
  <c r="K227" i="4" s="1"/>
  <c r="I227" i="4"/>
  <c r="N226" i="4"/>
  <c r="K226" i="4" s="1"/>
  <c r="M226" i="4"/>
  <c r="I226" i="4"/>
  <c r="H226" i="4"/>
  <c r="N225" i="4"/>
  <c r="I225" i="4"/>
  <c r="N224" i="4"/>
  <c r="I224" i="4"/>
  <c r="N223" i="4"/>
  <c r="M223" i="4" s="1"/>
  <c r="I223" i="4"/>
  <c r="N222" i="4"/>
  <c r="K222" i="4" s="1"/>
  <c r="I222" i="4"/>
  <c r="L221" i="4"/>
  <c r="J221" i="4"/>
  <c r="G221" i="4"/>
  <c r="E221" i="4"/>
  <c r="D221" i="4"/>
  <c r="C221" i="4"/>
  <c r="C261" i="4" s="1"/>
  <c r="N220" i="4"/>
  <c r="K220" i="4" s="1"/>
  <c r="M220" i="4"/>
  <c r="I220" i="4"/>
  <c r="H220" i="4"/>
  <c r="N219" i="4"/>
  <c r="K219" i="4" s="1"/>
  <c r="I219" i="4"/>
  <c r="N218" i="4"/>
  <c r="M218" i="4" s="1"/>
  <c r="K218" i="4"/>
  <c r="I218" i="4"/>
  <c r="F218" i="4"/>
  <c r="N217" i="4"/>
  <c r="K217" i="4" s="1"/>
  <c r="M217" i="4"/>
  <c r="I217" i="4"/>
  <c r="H217" i="4"/>
  <c r="N216" i="4"/>
  <c r="K216" i="4" s="1"/>
  <c r="M216" i="4"/>
  <c r="I216" i="4"/>
  <c r="H216" i="4"/>
  <c r="N215" i="4"/>
  <c r="K215" i="4" s="1"/>
  <c r="I215" i="4"/>
  <c r="N214" i="4"/>
  <c r="I214" i="4"/>
  <c r="N213" i="4"/>
  <c r="K213" i="4" s="1"/>
  <c r="M213" i="4"/>
  <c r="I213" i="4"/>
  <c r="H213" i="4"/>
  <c r="N212" i="4"/>
  <c r="M212" i="4" s="1"/>
  <c r="I212" i="4"/>
  <c r="L211" i="4"/>
  <c r="G211" i="4"/>
  <c r="J342" i="29" s="1"/>
  <c r="D211" i="4"/>
  <c r="C211" i="4"/>
  <c r="C260" i="4" s="1"/>
  <c r="J210" i="4"/>
  <c r="J211" i="4" s="1"/>
  <c r="E210" i="4"/>
  <c r="E211" i="4" s="1"/>
  <c r="N209" i="4"/>
  <c r="I209" i="4"/>
  <c r="N208" i="4"/>
  <c r="M208" i="4" s="1"/>
  <c r="K208" i="4"/>
  <c r="I208" i="4"/>
  <c r="F208" i="4"/>
  <c r="N207" i="4"/>
  <c r="K207" i="4" s="1"/>
  <c r="M207" i="4"/>
  <c r="I207" i="4"/>
  <c r="H207" i="4"/>
  <c r="N206" i="4"/>
  <c r="K206" i="4" s="1"/>
  <c r="M206" i="4"/>
  <c r="I206" i="4"/>
  <c r="H206" i="4"/>
  <c r="N205" i="4"/>
  <c r="K205" i="4" s="1"/>
  <c r="I205" i="4"/>
  <c r="N204" i="4"/>
  <c r="K204" i="4" s="1"/>
  <c r="M204" i="4"/>
  <c r="I204" i="4"/>
  <c r="H204" i="4"/>
  <c r="N203" i="4"/>
  <c r="I203" i="4"/>
  <c r="N202" i="4"/>
  <c r="I202" i="4"/>
  <c r="L201" i="4"/>
  <c r="J201" i="4"/>
  <c r="G201" i="4"/>
  <c r="E201" i="4"/>
  <c r="D201" i="4"/>
  <c r="C201" i="4"/>
  <c r="C259" i="4" s="1"/>
  <c r="N200" i="4"/>
  <c r="K200" i="4" s="1"/>
  <c r="I200" i="4"/>
  <c r="N199" i="4"/>
  <c r="K199" i="4" s="1"/>
  <c r="I199" i="4"/>
  <c r="N198" i="4"/>
  <c r="I198" i="4"/>
  <c r="N197" i="4"/>
  <c r="K197" i="4" s="1"/>
  <c r="M197" i="4"/>
  <c r="I197" i="4"/>
  <c r="H197" i="4"/>
  <c r="N196" i="4"/>
  <c r="K196" i="4" s="1"/>
  <c r="M196" i="4"/>
  <c r="I196" i="4"/>
  <c r="H196" i="4"/>
  <c r="N195" i="4"/>
  <c r="K195" i="4" s="1"/>
  <c r="I195" i="4"/>
  <c r="N194" i="4"/>
  <c r="K194" i="4" s="1"/>
  <c r="M194" i="4"/>
  <c r="I194" i="4"/>
  <c r="H194" i="4"/>
  <c r="N193" i="4"/>
  <c r="K193" i="4" s="1"/>
  <c r="M193" i="4"/>
  <c r="I193" i="4"/>
  <c r="H193" i="4"/>
  <c r="N192" i="4"/>
  <c r="K192" i="4" s="1"/>
  <c r="I192" i="4"/>
  <c r="L191" i="4"/>
  <c r="J191" i="4"/>
  <c r="G191" i="4"/>
  <c r="J306" i="29" s="1"/>
  <c r="E191" i="4"/>
  <c r="D191" i="4"/>
  <c r="C191" i="4"/>
  <c r="C258" i="4" s="1"/>
  <c r="N190" i="4"/>
  <c r="K190" i="4" s="1"/>
  <c r="I190" i="4"/>
  <c r="N189" i="4"/>
  <c r="K189" i="4" s="1"/>
  <c r="M189" i="4"/>
  <c r="I189" i="4"/>
  <c r="H189" i="4"/>
  <c r="N188" i="4"/>
  <c r="M188" i="4" s="1"/>
  <c r="I188" i="4"/>
  <c r="N187" i="4"/>
  <c r="K187" i="4" s="1"/>
  <c r="I187" i="4"/>
  <c r="N186" i="4"/>
  <c r="M186" i="4" s="1"/>
  <c r="I186" i="4"/>
  <c r="F186" i="4" s="1"/>
  <c r="N185" i="4"/>
  <c r="K185" i="4" s="1"/>
  <c r="I185" i="4"/>
  <c r="N184" i="4"/>
  <c r="K184" i="4" s="1"/>
  <c r="I184" i="4"/>
  <c r="N183" i="4"/>
  <c r="K183" i="4" s="1"/>
  <c r="M183" i="4"/>
  <c r="I183" i="4"/>
  <c r="H183" i="4"/>
  <c r="N182" i="4"/>
  <c r="M182" i="4" s="1"/>
  <c r="I182" i="4"/>
  <c r="L181" i="4"/>
  <c r="J181" i="4"/>
  <c r="G181" i="4"/>
  <c r="E181" i="4"/>
  <c r="D181" i="4"/>
  <c r="C181" i="4"/>
  <c r="C257" i="4" s="1"/>
  <c r="N180" i="4"/>
  <c r="K180" i="4" s="1"/>
  <c r="I180" i="4"/>
  <c r="N179" i="4"/>
  <c r="K179" i="4" s="1"/>
  <c r="M179" i="4"/>
  <c r="I179" i="4"/>
  <c r="H179" i="4"/>
  <c r="N178" i="4"/>
  <c r="K178" i="4" s="1"/>
  <c r="I178" i="4"/>
  <c r="N177" i="4"/>
  <c r="M177" i="4" s="1"/>
  <c r="I177" i="4"/>
  <c r="N176" i="4"/>
  <c r="K176" i="4" s="1"/>
  <c r="I176" i="4"/>
  <c r="N175" i="4"/>
  <c r="K175" i="4" s="1"/>
  <c r="I175" i="4"/>
  <c r="N174" i="4"/>
  <c r="I174" i="4"/>
  <c r="N173" i="4"/>
  <c r="K173" i="4" s="1"/>
  <c r="M173" i="4"/>
  <c r="I173" i="4"/>
  <c r="H173" i="4"/>
  <c r="N172" i="4"/>
  <c r="I172" i="4"/>
  <c r="L171" i="4"/>
  <c r="J171" i="4"/>
  <c r="G171" i="4"/>
  <c r="J273" i="29" s="1"/>
  <c r="E171" i="4"/>
  <c r="D171" i="4"/>
  <c r="C171" i="4"/>
  <c r="C256" i="4" s="1"/>
  <c r="N170" i="4"/>
  <c r="M170" i="4" s="1"/>
  <c r="I170" i="4"/>
  <c r="N169" i="4"/>
  <c r="K169" i="4" s="1"/>
  <c r="M169" i="4"/>
  <c r="I169" i="4"/>
  <c r="H169" i="4"/>
  <c r="N168" i="4"/>
  <c r="M168" i="4" s="1"/>
  <c r="I168" i="4"/>
  <c r="N167" i="4"/>
  <c r="K167" i="4" s="1"/>
  <c r="I167" i="4"/>
  <c r="N166" i="4"/>
  <c r="K166" i="4" s="1"/>
  <c r="M166" i="4"/>
  <c r="I166" i="4"/>
  <c r="H166" i="4"/>
  <c r="N165" i="4"/>
  <c r="K165" i="4" s="1"/>
  <c r="I165" i="4"/>
  <c r="N164" i="4"/>
  <c r="I164" i="4"/>
  <c r="N163" i="4"/>
  <c r="K163" i="4" s="1"/>
  <c r="I163" i="4"/>
  <c r="N162" i="4"/>
  <c r="K162" i="4" s="1"/>
  <c r="I162" i="4"/>
  <c r="L161" i="4"/>
  <c r="J161" i="4"/>
  <c r="G161" i="4"/>
  <c r="E161" i="4"/>
  <c r="D161" i="4"/>
  <c r="C161" i="4"/>
  <c r="C255" i="4" s="1"/>
  <c r="N160" i="4"/>
  <c r="K160" i="4" s="1"/>
  <c r="M160" i="4"/>
  <c r="I160" i="4"/>
  <c r="H160" i="4"/>
  <c r="N159" i="4"/>
  <c r="M159" i="4" s="1"/>
  <c r="I159" i="4"/>
  <c r="N158" i="4"/>
  <c r="K158" i="4" s="1"/>
  <c r="I158" i="4"/>
  <c r="N157" i="4"/>
  <c r="M157" i="4" s="1"/>
  <c r="I157" i="4"/>
  <c r="N156" i="4"/>
  <c r="K156" i="4" s="1"/>
  <c r="M156" i="4"/>
  <c r="I156" i="4"/>
  <c r="H156" i="4"/>
  <c r="N155" i="4"/>
  <c r="M155" i="4" s="1"/>
  <c r="I155" i="4"/>
  <c r="N154" i="4"/>
  <c r="K154" i="4" s="1"/>
  <c r="I154" i="4"/>
  <c r="N153" i="4"/>
  <c r="M153" i="4" s="1"/>
  <c r="I153" i="4"/>
  <c r="N152" i="4"/>
  <c r="K152" i="4" s="1"/>
  <c r="I152" i="4"/>
  <c r="L151" i="4"/>
  <c r="J151" i="4"/>
  <c r="L239" i="29" s="1"/>
  <c r="G151" i="4"/>
  <c r="E151" i="4"/>
  <c r="D151" i="4"/>
  <c r="C151" i="4"/>
  <c r="C254" i="4" s="1"/>
  <c r="N150" i="4"/>
  <c r="K150" i="4" s="1"/>
  <c r="M150" i="4"/>
  <c r="I150" i="4"/>
  <c r="H150" i="4"/>
  <c r="N149" i="4"/>
  <c r="K149" i="4" s="1"/>
  <c r="I149" i="4"/>
  <c r="F149" i="4" s="1"/>
  <c r="N148" i="4"/>
  <c r="K148" i="4" s="1"/>
  <c r="I148" i="4"/>
  <c r="N147" i="4"/>
  <c r="I147" i="4"/>
  <c r="N146" i="4"/>
  <c r="K146" i="4" s="1"/>
  <c r="M146" i="4"/>
  <c r="I146" i="4"/>
  <c r="H146" i="4"/>
  <c r="N145" i="4"/>
  <c r="K145" i="4" s="1"/>
  <c r="I145" i="4"/>
  <c r="N144" i="4"/>
  <c r="K144" i="4" s="1"/>
  <c r="M144" i="4"/>
  <c r="I144" i="4"/>
  <c r="H144" i="4"/>
  <c r="N143" i="4"/>
  <c r="K143" i="4" s="1"/>
  <c r="I143" i="4"/>
  <c r="N142" i="4"/>
  <c r="M142" i="4" s="1"/>
  <c r="I142" i="4"/>
  <c r="L141" i="4"/>
  <c r="M221" i="29" s="1"/>
  <c r="J141" i="4"/>
  <c r="G141" i="4"/>
  <c r="E141" i="4"/>
  <c r="D141" i="4"/>
  <c r="C141" i="4"/>
  <c r="C253" i="4" s="1"/>
  <c r="N140" i="4"/>
  <c r="K140" i="4" s="1"/>
  <c r="I140" i="4"/>
  <c r="N139" i="4"/>
  <c r="K139" i="4" s="1"/>
  <c r="M139" i="4"/>
  <c r="I139" i="4"/>
  <c r="H139" i="4"/>
  <c r="N138" i="4"/>
  <c r="I138" i="4"/>
  <c r="N137" i="4"/>
  <c r="K137" i="4" s="1"/>
  <c r="I137" i="4"/>
  <c r="N136" i="4"/>
  <c r="K136" i="4" s="1"/>
  <c r="M136" i="4"/>
  <c r="I136" i="4"/>
  <c r="H136" i="4"/>
  <c r="N135" i="4"/>
  <c r="K135" i="4" s="1"/>
  <c r="I135" i="4"/>
  <c r="N134" i="4"/>
  <c r="K134" i="4" s="1"/>
  <c r="M134" i="4"/>
  <c r="I134" i="4"/>
  <c r="H134" i="4"/>
  <c r="N133" i="4"/>
  <c r="M133" i="4" s="1"/>
  <c r="I133" i="4"/>
  <c r="N132" i="4"/>
  <c r="K132" i="4" s="1"/>
  <c r="I132" i="4"/>
  <c r="L131" i="4"/>
  <c r="J131" i="4"/>
  <c r="L204" i="29" s="1"/>
  <c r="G131" i="4"/>
  <c r="E131" i="4"/>
  <c r="I204" i="29" s="1"/>
  <c r="D131" i="4"/>
  <c r="C131" i="4"/>
  <c r="C252" i="4" s="1"/>
  <c r="A131" i="4"/>
  <c r="N130" i="4"/>
  <c r="I130" i="4"/>
  <c r="H130" i="4" s="1"/>
  <c r="N129" i="4"/>
  <c r="M129" i="4" s="1"/>
  <c r="K129" i="4"/>
  <c r="I129" i="4"/>
  <c r="H129" i="4" s="1"/>
  <c r="F129" i="4"/>
  <c r="N128" i="4"/>
  <c r="M128" i="4" s="1"/>
  <c r="I128" i="4"/>
  <c r="H128" i="4" s="1"/>
  <c r="N127" i="4"/>
  <c r="M127" i="4" s="1"/>
  <c r="I127" i="4"/>
  <c r="N126" i="4"/>
  <c r="K126" i="4" s="1"/>
  <c r="M126" i="4"/>
  <c r="I126" i="4"/>
  <c r="H126" i="4"/>
  <c r="N125" i="4"/>
  <c r="M125" i="4" s="1"/>
  <c r="I125" i="4"/>
  <c r="N124" i="4"/>
  <c r="K124" i="4" s="1"/>
  <c r="M124" i="4"/>
  <c r="I124" i="4"/>
  <c r="H124" i="4"/>
  <c r="N123" i="4"/>
  <c r="K123" i="4" s="1"/>
  <c r="M123" i="4"/>
  <c r="I123" i="4"/>
  <c r="H123" i="4"/>
  <c r="N122" i="4"/>
  <c r="M122" i="4" s="1"/>
  <c r="I122" i="4"/>
  <c r="L121" i="4"/>
  <c r="M187" i="29" s="1"/>
  <c r="J121" i="4"/>
  <c r="L187" i="29" s="1"/>
  <c r="G121" i="4"/>
  <c r="J187" i="29" s="1"/>
  <c r="E121" i="4"/>
  <c r="D121" i="4"/>
  <c r="C121" i="4"/>
  <c r="C251" i="4" s="1"/>
  <c r="A121" i="4"/>
  <c r="N120" i="4"/>
  <c r="K120" i="4" s="1"/>
  <c r="M120" i="4"/>
  <c r="I120" i="4"/>
  <c r="H120" i="4"/>
  <c r="N119" i="4"/>
  <c r="M119" i="4" s="1"/>
  <c r="K119" i="4"/>
  <c r="I119" i="4"/>
  <c r="F119" i="4"/>
  <c r="N118" i="4"/>
  <c r="K118" i="4" s="1"/>
  <c r="I118" i="4"/>
  <c r="N117" i="4"/>
  <c r="K117" i="4" s="1"/>
  <c r="I117" i="4"/>
  <c r="N116" i="4"/>
  <c r="K116" i="4" s="1"/>
  <c r="M116" i="4"/>
  <c r="I116" i="4"/>
  <c r="H116" i="4"/>
  <c r="N115" i="4"/>
  <c r="K115" i="4" s="1"/>
  <c r="I115" i="4"/>
  <c r="N114" i="4"/>
  <c r="K114" i="4" s="1"/>
  <c r="M114" i="4"/>
  <c r="I114" i="4"/>
  <c r="H114" i="4"/>
  <c r="N113" i="4"/>
  <c r="K113" i="4" s="1"/>
  <c r="M113" i="4"/>
  <c r="I113" i="4"/>
  <c r="H113" i="4"/>
  <c r="N112" i="4"/>
  <c r="K112" i="4" s="1"/>
  <c r="I112" i="4"/>
  <c r="L111" i="4"/>
  <c r="J111" i="4"/>
  <c r="G111" i="4"/>
  <c r="E111" i="4"/>
  <c r="D111" i="4"/>
  <c r="D250" i="4" s="1"/>
  <c r="C111" i="4"/>
  <c r="C250" i="4" s="1"/>
  <c r="A111" i="4"/>
  <c r="N110" i="4"/>
  <c r="K110" i="4" s="1"/>
  <c r="M110" i="4"/>
  <c r="I110" i="4"/>
  <c r="H110" i="4"/>
  <c r="N109" i="4"/>
  <c r="I109" i="4"/>
  <c r="N108" i="4"/>
  <c r="M108" i="4" s="1"/>
  <c r="I108" i="4"/>
  <c r="N107" i="4"/>
  <c r="M107" i="4" s="1"/>
  <c r="I107" i="4"/>
  <c r="N106" i="4"/>
  <c r="K106" i="4" s="1"/>
  <c r="M106" i="4"/>
  <c r="I106" i="4"/>
  <c r="H106" i="4"/>
  <c r="N105" i="4"/>
  <c r="K105" i="4" s="1"/>
  <c r="I105" i="4"/>
  <c r="N104" i="4"/>
  <c r="M104" i="4" s="1"/>
  <c r="I104" i="4"/>
  <c r="N103" i="4"/>
  <c r="K103" i="4" s="1"/>
  <c r="I103" i="4"/>
  <c r="N102" i="4"/>
  <c r="M102" i="4" s="1"/>
  <c r="I102" i="4"/>
  <c r="L101" i="4"/>
  <c r="J101" i="4"/>
  <c r="G101" i="4"/>
  <c r="E101" i="4"/>
  <c r="D101" i="4"/>
  <c r="D249" i="4" s="1"/>
  <c r="C101" i="4"/>
  <c r="C249" i="4" s="1"/>
  <c r="A101" i="4"/>
  <c r="N100" i="4"/>
  <c r="I100" i="4"/>
  <c r="N99" i="4"/>
  <c r="M99" i="4" s="1"/>
  <c r="I99" i="4"/>
  <c r="N98" i="4"/>
  <c r="K98" i="4" s="1"/>
  <c r="I98" i="4"/>
  <c r="N97" i="4"/>
  <c r="M97" i="4" s="1"/>
  <c r="I97" i="4"/>
  <c r="N96" i="4"/>
  <c r="K96" i="4" s="1"/>
  <c r="I96" i="4"/>
  <c r="N95" i="4"/>
  <c r="I95" i="4"/>
  <c r="N94" i="4"/>
  <c r="K94" i="4" s="1"/>
  <c r="I94" i="4"/>
  <c r="N93" i="4"/>
  <c r="K93" i="4" s="1"/>
  <c r="I93" i="4"/>
  <c r="N92" i="4"/>
  <c r="K92" i="4" s="1"/>
  <c r="I92" i="4"/>
  <c r="L91" i="4"/>
  <c r="J91" i="4"/>
  <c r="G91" i="4"/>
  <c r="J139" i="29" s="1"/>
  <c r="E91" i="4"/>
  <c r="I139" i="29" s="1"/>
  <c r="D91" i="4"/>
  <c r="D248" i="4" s="1"/>
  <c r="C91" i="4"/>
  <c r="C248" i="4" s="1"/>
  <c r="A91" i="4"/>
  <c r="N90" i="4"/>
  <c r="K90" i="4" s="1"/>
  <c r="I90" i="4"/>
  <c r="N89" i="4"/>
  <c r="M89" i="4" s="1"/>
  <c r="I89" i="4"/>
  <c r="N88" i="4"/>
  <c r="K88" i="4" s="1"/>
  <c r="I88" i="4"/>
  <c r="F88" i="4" s="1"/>
  <c r="N87" i="4"/>
  <c r="K87" i="4" s="1"/>
  <c r="M87" i="4"/>
  <c r="I87" i="4"/>
  <c r="H87" i="4"/>
  <c r="N86" i="4"/>
  <c r="M86" i="4" s="1"/>
  <c r="I86" i="4"/>
  <c r="N85" i="4"/>
  <c r="M85" i="4" s="1"/>
  <c r="I85" i="4"/>
  <c r="N84" i="4"/>
  <c r="I84" i="4"/>
  <c r="N83" i="4"/>
  <c r="M83" i="4" s="1"/>
  <c r="I83" i="4"/>
  <c r="H83" i="4" s="1"/>
  <c r="N82" i="4"/>
  <c r="I82" i="4"/>
  <c r="L81" i="4"/>
  <c r="J81" i="4"/>
  <c r="G81" i="4"/>
  <c r="E81" i="4"/>
  <c r="D81" i="4"/>
  <c r="D247" i="4" s="1"/>
  <c r="C81" i="4"/>
  <c r="C247" i="4" s="1"/>
  <c r="A81" i="4"/>
  <c r="N80" i="4"/>
  <c r="I80" i="4"/>
  <c r="N79" i="4"/>
  <c r="I79" i="4"/>
  <c r="N78" i="4"/>
  <c r="K78" i="4" s="1"/>
  <c r="I78" i="4"/>
  <c r="N77" i="4"/>
  <c r="K77" i="4" s="1"/>
  <c r="I77" i="4"/>
  <c r="N76" i="4"/>
  <c r="I76" i="4"/>
  <c r="N75" i="4"/>
  <c r="I75" i="4"/>
  <c r="N74" i="4"/>
  <c r="K74" i="4" s="1"/>
  <c r="I74" i="4"/>
  <c r="N73" i="4"/>
  <c r="K73" i="4" s="1"/>
  <c r="M73" i="4"/>
  <c r="I73" i="4"/>
  <c r="H73" i="4"/>
  <c r="N72" i="4"/>
  <c r="M72" i="4" s="1"/>
  <c r="I72" i="4"/>
  <c r="L71" i="4"/>
  <c r="J71" i="4"/>
  <c r="G71" i="4"/>
  <c r="E71" i="4"/>
  <c r="D71" i="4"/>
  <c r="D246" i="4" s="1"/>
  <c r="C71" i="4"/>
  <c r="C246" i="4" s="1"/>
  <c r="A71" i="4"/>
  <c r="N70" i="4"/>
  <c r="K70" i="4" s="1"/>
  <c r="M70" i="4"/>
  <c r="I70" i="4"/>
  <c r="H70" i="4"/>
  <c r="N69" i="4"/>
  <c r="K69" i="4" s="1"/>
  <c r="I69" i="4"/>
  <c r="N68" i="4"/>
  <c r="M68" i="4" s="1"/>
  <c r="K68" i="4"/>
  <c r="I68" i="4"/>
  <c r="F68" i="4"/>
  <c r="N67" i="4"/>
  <c r="K67" i="4" s="1"/>
  <c r="I67" i="4"/>
  <c r="N66" i="4"/>
  <c r="M66" i="4" s="1"/>
  <c r="I66" i="4"/>
  <c r="N65" i="4"/>
  <c r="M65" i="4" s="1"/>
  <c r="I65" i="4"/>
  <c r="N64" i="4"/>
  <c r="K64" i="4" s="1"/>
  <c r="M64" i="4"/>
  <c r="I64" i="4"/>
  <c r="H64" i="4"/>
  <c r="N63" i="4"/>
  <c r="K63" i="4" s="1"/>
  <c r="M63" i="4"/>
  <c r="I63" i="4"/>
  <c r="H63" i="4"/>
  <c r="N62" i="4"/>
  <c r="M62" i="4" s="1"/>
  <c r="I62" i="4"/>
  <c r="L61" i="4"/>
  <c r="J61" i="4"/>
  <c r="G61" i="4"/>
  <c r="E61" i="4"/>
  <c r="D61" i="4"/>
  <c r="D245" i="4" s="1"/>
  <c r="C61" i="4"/>
  <c r="C245" i="4" s="1"/>
  <c r="A61" i="4"/>
  <c r="N60" i="4"/>
  <c r="K60" i="4" s="1"/>
  <c r="M60" i="4"/>
  <c r="I60" i="4"/>
  <c r="H60" i="4"/>
  <c r="N59" i="4"/>
  <c r="K59" i="4" s="1"/>
  <c r="M59" i="4"/>
  <c r="I59" i="4"/>
  <c r="H59" i="4"/>
  <c r="N58" i="4"/>
  <c r="K58" i="4" s="1"/>
  <c r="I58" i="4"/>
  <c r="N57" i="4"/>
  <c r="K57" i="4" s="1"/>
  <c r="I57" i="4"/>
  <c r="N56" i="4"/>
  <c r="K56" i="4" s="1"/>
  <c r="M56" i="4"/>
  <c r="I56" i="4"/>
  <c r="H56" i="4"/>
  <c r="N55" i="4"/>
  <c r="K55" i="4" s="1"/>
  <c r="I55" i="4"/>
  <c r="N54" i="4"/>
  <c r="K54" i="4" s="1"/>
  <c r="M54" i="4"/>
  <c r="I54" i="4"/>
  <c r="H54" i="4"/>
  <c r="N53" i="4"/>
  <c r="K53" i="4" s="1"/>
  <c r="M53" i="4"/>
  <c r="I53" i="4"/>
  <c r="H53" i="4"/>
  <c r="N52" i="4"/>
  <c r="K52" i="4" s="1"/>
  <c r="I52" i="4"/>
  <c r="L51" i="4"/>
  <c r="J51" i="4"/>
  <c r="G51" i="4"/>
  <c r="E51" i="4"/>
  <c r="D51" i="4"/>
  <c r="C51" i="4"/>
  <c r="A51" i="4"/>
  <c r="N50" i="4"/>
  <c r="K50" i="4" s="1"/>
  <c r="I50" i="4"/>
  <c r="N49" i="4"/>
  <c r="K49" i="4" s="1"/>
  <c r="M49" i="4"/>
  <c r="I49" i="4"/>
  <c r="H49" i="4"/>
  <c r="N48" i="4"/>
  <c r="I48" i="4"/>
  <c r="N47" i="4"/>
  <c r="M47" i="4" s="1"/>
  <c r="I47" i="4"/>
  <c r="N46" i="4"/>
  <c r="K46" i="4" s="1"/>
  <c r="M46" i="4"/>
  <c r="I46" i="4"/>
  <c r="H46" i="4"/>
  <c r="N45" i="4"/>
  <c r="M45" i="4" s="1"/>
  <c r="I45" i="4"/>
  <c r="N44" i="4"/>
  <c r="K44" i="4" s="1"/>
  <c r="M44" i="4"/>
  <c r="I44" i="4"/>
  <c r="H44" i="4"/>
  <c r="N43" i="4"/>
  <c r="K43" i="4" s="1"/>
  <c r="M43" i="4"/>
  <c r="I43" i="4"/>
  <c r="H43" i="4"/>
  <c r="N42" i="4"/>
  <c r="K42" i="4" s="1"/>
  <c r="I42" i="4"/>
  <c r="L41" i="4"/>
  <c r="J41" i="4"/>
  <c r="G41" i="4"/>
  <c r="E41" i="4"/>
  <c r="D41" i="4"/>
  <c r="C41" i="4"/>
  <c r="A41" i="4"/>
  <c r="N40" i="4"/>
  <c r="I40" i="4"/>
  <c r="N39" i="4"/>
  <c r="K39" i="4" s="1"/>
  <c r="I39" i="4"/>
  <c r="N38" i="4"/>
  <c r="M38" i="4" s="1"/>
  <c r="K38" i="4"/>
  <c r="I38" i="4"/>
  <c r="F38" i="4"/>
  <c r="N37" i="4"/>
  <c r="K37" i="4" s="1"/>
  <c r="I37" i="4"/>
  <c r="N36" i="4"/>
  <c r="K36" i="4" s="1"/>
  <c r="M36" i="4"/>
  <c r="I36" i="4"/>
  <c r="H36" i="4"/>
  <c r="N35" i="4"/>
  <c r="K35" i="4" s="1"/>
  <c r="M35" i="4"/>
  <c r="I35" i="4"/>
  <c r="H35" i="4"/>
  <c r="N34" i="4"/>
  <c r="K34" i="4" s="1"/>
  <c r="M34" i="4"/>
  <c r="I34" i="4"/>
  <c r="H34" i="4"/>
  <c r="N33" i="4"/>
  <c r="K33" i="4" s="1"/>
  <c r="I33" i="4"/>
  <c r="N32" i="4"/>
  <c r="I32" i="4"/>
  <c r="L31" i="4"/>
  <c r="J31" i="4"/>
  <c r="G31" i="4"/>
  <c r="E31" i="4"/>
  <c r="D31" i="4"/>
  <c r="C31" i="4"/>
  <c r="A31" i="4"/>
  <c r="N30" i="4"/>
  <c r="I30" i="4"/>
  <c r="N29" i="4"/>
  <c r="M29" i="4"/>
  <c r="K29" i="4"/>
  <c r="I29" i="4"/>
  <c r="O29" i="4" s="1"/>
  <c r="H29" i="4"/>
  <c r="F29" i="4"/>
  <c r="N28" i="4"/>
  <c r="M28" i="4" s="1"/>
  <c r="I28" i="4"/>
  <c r="N27" i="4"/>
  <c r="K27" i="4" s="1"/>
  <c r="I27" i="4"/>
  <c r="N26" i="4"/>
  <c r="K26" i="4" s="1"/>
  <c r="M26" i="4"/>
  <c r="I26" i="4"/>
  <c r="H26" i="4"/>
  <c r="N25" i="4"/>
  <c r="I25" i="4"/>
  <c r="N24" i="4"/>
  <c r="M24" i="4" s="1"/>
  <c r="K24" i="4"/>
  <c r="I24" i="4"/>
  <c r="F24" i="4"/>
  <c r="N23" i="4"/>
  <c r="K23" i="4" s="1"/>
  <c r="I23" i="4"/>
  <c r="N22" i="4"/>
  <c r="M22" i="4" s="1"/>
  <c r="I22" i="4"/>
  <c r="L21" i="4"/>
  <c r="J21" i="4"/>
  <c r="G21" i="4"/>
  <c r="E21" i="4"/>
  <c r="D21" i="4"/>
  <c r="C21" i="4"/>
  <c r="A21" i="4"/>
  <c r="N20" i="4"/>
  <c r="I20" i="4"/>
  <c r="N19" i="4"/>
  <c r="M19" i="4" s="1"/>
  <c r="I19" i="4"/>
  <c r="N18" i="4"/>
  <c r="K18" i="4" s="1"/>
  <c r="I18" i="4"/>
  <c r="N17" i="4"/>
  <c r="K17" i="4" s="1"/>
  <c r="M17" i="4"/>
  <c r="I17" i="4"/>
  <c r="H17" i="4"/>
  <c r="N16" i="4"/>
  <c r="K16" i="4" s="1"/>
  <c r="M16" i="4"/>
  <c r="I16" i="4"/>
  <c r="H16" i="4"/>
  <c r="N15" i="4"/>
  <c r="M15" i="4" s="1"/>
  <c r="I15" i="4"/>
  <c r="N14" i="4"/>
  <c r="K14" i="4" s="1"/>
  <c r="M14" i="4"/>
  <c r="I14" i="4"/>
  <c r="H14" i="4"/>
  <c r="N13" i="4"/>
  <c r="M13" i="4" s="1"/>
  <c r="I13" i="4"/>
  <c r="N12" i="4"/>
  <c r="K12" i="4" s="1"/>
  <c r="I12" i="4"/>
  <c r="L11" i="4"/>
  <c r="J11" i="4"/>
  <c r="G11" i="4"/>
  <c r="E11" i="4"/>
  <c r="D11" i="4"/>
  <c r="C11" i="4"/>
  <c r="A11" i="4"/>
  <c r="N10" i="4"/>
  <c r="M10" i="4" s="1"/>
  <c r="I10" i="4"/>
  <c r="N9" i="4"/>
  <c r="M9" i="4"/>
  <c r="K9" i="4"/>
  <c r="I9" i="4"/>
  <c r="O9" i="4" s="1"/>
  <c r="H9" i="4"/>
  <c r="F9" i="4"/>
  <c r="N8" i="4"/>
  <c r="M8" i="4" s="1"/>
  <c r="I8" i="4"/>
  <c r="N7" i="4"/>
  <c r="M7" i="4" s="1"/>
  <c r="I7" i="4"/>
  <c r="N6" i="4"/>
  <c r="K6" i="4" s="1"/>
  <c r="M6" i="4"/>
  <c r="I6" i="4"/>
  <c r="H6" i="4"/>
  <c r="N5" i="4"/>
  <c r="M5" i="4" s="1"/>
  <c r="I5" i="4"/>
  <c r="H5" i="4" s="1"/>
  <c r="N4" i="4"/>
  <c r="K4" i="4" s="1"/>
  <c r="M4" i="4"/>
  <c r="I4" i="4"/>
  <c r="H4" i="4"/>
  <c r="N3" i="4"/>
  <c r="K3" i="4" s="1"/>
  <c r="M3" i="4"/>
  <c r="I3" i="4"/>
  <c r="H3" i="4"/>
  <c r="N2" i="4"/>
  <c r="M2" i="4" s="1"/>
  <c r="I2" i="4"/>
  <c r="E155" i="29" l="1"/>
  <c r="E324" i="29"/>
  <c r="H324" i="29"/>
  <c r="H257" i="29"/>
  <c r="M342" i="29"/>
  <c r="L360" i="29"/>
  <c r="H155" i="29"/>
  <c r="H170" i="29"/>
  <c r="H287" i="29"/>
  <c r="E306" i="29"/>
  <c r="H331" i="29"/>
  <c r="H341" i="29"/>
  <c r="M360" i="29"/>
  <c r="D257" i="29"/>
  <c r="E257" i="29" s="1"/>
  <c r="F273" i="29"/>
  <c r="H273" i="29" s="1"/>
  <c r="I289" i="29"/>
  <c r="E187" i="29"/>
  <c r="H204" i="29"/>
  <c r="E309" i="29"/>
  <c r="E342" i="29"/>
  <c r="L289" i="29"/>
  <c r="H276" i="29"/>
  <c r="E170" i="29"/>
  <c r="H239" i="29"/>
  <c r="E287" i="29"/>
  <c r="E289" i="29" s="1"/>
  <c r="E360" i="29"/>
  <c r="J360" i="29"/>
  <c r="J204" i="29"/>
  <c r="M155" i="29"/>
  <c r="H306" i="29"/>
  <c r="E313" i="29"/>
  <c r="I360" i="29"/>
  <c r="H139" i="29"/>
  <c r="K283" i="28"/>
  <c r="O105" i="4"/>
  <c r="O137" i="4"/>
  <c r="O142" i="4"/>
  <c r="D3" i="11"/>
  <c r="D4" i="11"/>
  <c r="D5" i="11"/>
  <c r="D6" i="11"/>
  <c r="D7" i="11"/>
  <c r="D8" i="11"/>
  <c r="D9" i="11"/>
  <c r="D10" i="11"/>
  <c r="D11" i="11"/>
  <c r="C279" i="4"/>
  <c r="D216" i="28"/>
  <c r="R216" i="28" s="1"/>
  <c r="M205" i="28"/>
  <c r="G251" i="28"/>
  <c r="S251" i="28" s="1"/>
  <c r="G247" i="28"/>
  <c r="S247" i="28" s="1"/>
  <c r="J263" i="28"/>
  <c r="T263" i="28" s="1"/>
  <c r="J264" i="28"/>
  <c r="T264" i="28" s="1"/>
  <c r="M204" i="28"/>
  <c r="J211" i="28"/>
  <c r="T211" i="28" s="1"/>
  <c r="M249" i="28"/>
  <c r="J220" i="28"/>
  <c r="T220" i="28" s="1"/>
  <c r="G245" i="28"/>
  <c r="S245" i="28" s="1"/>
  <c r="G249" i="28"/>
  <c r="S249" i="28" s="1"/>
  <c r="G246" i="28"/>
  <c r="S246" i="28" s="1"/>
  <c r="G254" i="28"/>
  <c r="S254" i="28" s="1"/>
  <c r="G255" i="28"/>
  <c r="S255" i="28" s="1"/>
  <c r="D257" i="28"/>
  <c r="R257" i="28" s="1"/>
  <c r="M201" i="28"/>
  <c r="M247" i="28"/>
  <c r="M251" i="28"/>
  <c r="G206" i="28"/>
  <c r="S206" i="28" s="1"/>
  <c r="G203" i="28"/>
  <c r="S203" i="28" s="1"/>
  <c r="D224" i="28"/>
  <c r="R224" i="28" s="1"/>
  <c r="D256" i="28"/>
  <c r="R256" i="28" s="1"/>
  <c r="M202" i="28"/>
  <c r="M208" i="28"/>
  <c r="M209" i="28"/>
  <c r="M229" i="28"/>
  <c r="G248" i="28"/>
  <c r="S248" i="28" s="1"/>
  <c r="J251" i="28"/>
  <c r="T251" i="28" s="1"/>
  <c r="G252" i="28"/>
  <c r="S252" i="28" s="1"/>
  <c r="J255" i="28"/>
  <c r="T255" i="28" s="1"/>
  <c r="G257" i="28"/>
  <c r="S257" i="28" s="1"/>
  <c r="D258" i="28"/>
  <c r="R258" i="28" s="1"/>
  <c r="D260" i="28"/>
  <c r="R260" i="28" s="1"/>
  <c r="D261" i="28"/>
  <c r="R261" i="28" s="1"/>
  <c r="J265" i="28"/>
  <c r="T265" i="28" s="1"/>
  <c r="D279" i="28"/>
  <c r="R279" i="28" s="1"/>
  <c r="D214" i="28"/>
  <c r="R214" i="28" s="1"/>
  <c r="G205" i="28"/>
  <c r="S205" i="28" s="1"/>
  <c r="D254" i="28"/>
  <c r="R254" i="28" s="1"/>
  <c r="G258" i="28"/>
  <c r="S258" i="28" s="1"/>
  <c r="G259" i="28"/>
  <c r="S259" i="28" s="1"/>
  <c r="G260" i="28"/>
  <c r="S260" i="28" s="1"/>
  <c r="M223" i="28"/>
  <c r="M231" i="28"/>
  <c r="G253" i="28"/>
  <c r="S253" i="28" s="1"/>
  <c r="S26" i="28"/>
  <c r="S28" i="28"/>
  <c r="S112" i="28"/>
  <c r="G231" i="28"/>
  <c r="S231" i="28" s="1"/>
  <c r="S120" i="28"/>
  <c r="S137" i="28"/>
  <c r="J277" i="28"/>
  <c r="T277" i="28" s="1"/>
  <c r="D206" i="28"/>
  <c r="R206" i="28" s="1"/>
  <c r="R7" i="28"/>
  <c r="G280" i="28"/>
  <c r="S280" i="28" s="1"/>
  <c r="J285" i="28"/>
  <c r="T285" i="28" s="1"/>
  <c r="R91" i="28"/>
  <c r="J250" i="28"/>
  <c r="T250" i="28" s="1"/>
  <c r="G229" i="28"/>
  <c r="S229" i="28" s="1"/>
  <c r="S118" i="28"/>
  <c r="J231" i="28"/>
  <c r="T231" i="28" s="1"/>
  <c r="S135" i="28"/>
  <c r="D232" i="28"/>
  <c r="R232" i="28" s="1"/>
  <c r="J234" i="28"/>
  <c r="T234" i="28" s="1"/>
  <c r="J252" i="28"/>
  <c r="T252" i="28" s="1"/>
  <c r="J286" i="28"/>
  <c r="T286" i="28" s="1"/>
  <c r="D201" i="28"/>
  <c r="R201" i="28" s="1"/>
  <c r="R2" i="28"/>
  <c r="R6" i="28"/>
  <c r="D205" i="28"/>
  <c r="R205" i="28" s="1"/>
  <c r="G274" i="28"/>
  <c r="S274" i="28" s="1"/>
  <c r="S9" i="28"/>
  <c r="J212" i="28"/>
  <c r="T212" i="28" s="1"/>
  <c r="D233" i="28"/>
  <c r="R233" i="28" s="1"/>
  <c r="G223" i="28"/>
  <c r="S223" i="28" s="1"/>
  <c r="S116" i="28"/>
  <c r="J238" i="28"/>
  <c r="T238" i="28" s="1"/>
  <c r="S141" i="28"/>
  <c r="T153" i="28"/>
  <c r="J261" i="28"/>
  <c r="T261" i="28" s="1"/>
  <c r="T172" i="28"/>
  <c r="D230" i="28"/>
  <c r="R230" i="28" s="1"/>
  <c r="J257" i="28"/>
  <c r="T257" i="28" s="1"/>
  <c r="J208" i="28"/>
  <c r="T208" i="28" s="1"/>
  <c r="S90" i="28"/>
  <c r="D225" i="28"/>
  <c r="R225" i="28" s="1"/>
  <c r="T94" i="28"/>
  <c r="J227" i="28"/>
  <c r="T227" i="28" s="1"/>
  <c r="G230" i="28"/>
  <c r="S230" i="28" s="1"/>
  <c r="S114" i="28"/>
  <c r="T131" i="28"/>
  <c r="J242" i="28"/>
  <c r="T242" i="28" s="1"/>
  <c r="S148" i="28"/>
  <c r="J262" i="28"/>
  <c r="T262" i="28" s="1"/>
  <c r="G264" i="28"/>
  <c r="S264" i="28" s="1"/>
  <c r="S153" i="28"/>
  <c r="D265" i="28"/>
  <c r="R265" i="28" s="1"/>
  <c r="M206" i="28"/>
  <c r="G208" i="28"/>
  <c r="S208" i="28" s="1"/>
  <c r="M203" i="28"/>
  <c r="D287" i="28"/>
  <c r="R287" i="28" s="1"/>
  <c r="G269" i="28"/>
  <c r="S269" i="28" s="1"/>
  <c r="G270" i="28"/>
  <c r="S270" i="28" s="1"/>
  <c r="G271" i="28"/>
  <c r="S271" i="28" s="1"/>
  <c r="G272" i="28"/>
  <c r="S272" i="28" s="1"/>
  <c r="G273" i="28"/>
  <c r="S273" i="28" s="1"/>
  <c r="S8" i="28"/>
  <c r="J216" i="28"/>
  <c r="T216" i="28" s="1"/>
  <c r="D220" i="28"/>
  <c r="R220" i="28" s="1"/>
  <c r="G250" i="28"/>
  <c r="S250" i="28" s="1"/>
  <c r="S117" i="28"/>
  <c r="G233" i="28"/>
  <c r="S233" i="28" s="1"/>
  <c r="S140" i="28"/>
  <c r="J260" i="28"/>
  <c r="T260" i="28" s="1"/>
  <c r="G262" i="28"/>
  <c r="S262" i="28" s="1"/>
  <c r="J278" i="28"/>
  <c r="T278" i="28" s="1"/>
  <c r="G204" i="28"/>
  <c r="S204" i="28" s="1"/>
  <c r="M227" i="28"/>
  <c r="D242" i="28"/>
  <c r="R242" i="28" s="1"/>
  <c r="M245" i="28"/>
  <c r="M246" i="28"/>
  <c r="M248" i="28"/>
  <c r="J276" i="28"/>
  <c r="T276" i="28" s="1"/>
  <c r="J210" i="28"/>
  <c r="T210" i="28" s="1"/>
  <c r="J287" i="28"/>
  <c r="T287" i="28" s="1"/>
  <c r="J221" i="28"/>
  <c r="T221" i="28" s="1"/>
  <c r="R78" i="28"/>
  <c r="D236" i="28"/>
  <c r="R236" i="28" s="1"/>
  <c r="D280" i="28"/>
  <c r="R280" i="28" s="1"/>
  <c r="R125" i="28"/>
  <c r="J209" i="28"/>
  <c r="T209" i="28" s="1"/>
  <c r="J275" i="28"/>
  <c r="T275" i="28" s="1"/>
  <c r="G278" i="28"/>
  <c r="S278" i="28" s="1"/>
  <c r="G212" i="28"/>
  <c r="S212" i="28" s="1"/>
  <c r="D281" i="28"/>
  <c r="R281" i="28" s="1"/>
  <c r="D215" i="28"/>
  <c r="R215" i="28" s="1"/>
  <c r="J243" i="28"/>
  <c r="T243" i="28" s="1"/>
  <c r="J202" i="28"/>
  <c r="T202" i="28" s="1"/>
  <c r="J201" i="28"/>
  <c r="T201" i="28" s="1"/>
  <c r="J267" i="28"/>
  <c r="T267" i="28" s="1"/>
  <c r="J268" i="28"/>
  <c r="T268" i="28" s="1"/>
  <c r="J203" i="28"/>
  <c r="T203" i="28" s="1"/>
  <c r="J269" i="28"/>
  <c r="T269" i="28" s="1"/>
  <c r="J204" i="28"/>
  <c r="T204" i="28" s="1"/>
  <c r="J270" i="28"/>
  <c r="T270" i="28" s="1"/>
  <c r="J271" i="28"/>
  <c r="T271" i="28" s="1"/>
  <c r="J205" i="28"/>
  <c r="T205" i="28" s="1"/>
  <c r="J272" i="28"/>
  <c r="T272" i="28" s="1"/>
  <c r="J206" i="28"/>
  <c r="T206" i="28" s="1"/>
  <c r="J207" i="28"/>
  <c r="T207" i="28" s="1"/>
  <c r="J273" i="28"/>
  <c r="T273" i="28" s="1"/>
  <c r="T8" i="28"/>
  <c r="D277" i="28"/>
  <c r="R277" i="28" s="1"/>
  <c r="D211" i="28"/>
  <c r="R211" i="28" s="1"/>
  <c r="R12" i="28"/>
  <c r="G279" i="28"/>
  <c r="S279" i="28" s="1"/>
  <c r="G213" i="28"/>
  <c r="S213" i="28" s="1"/>
  <c r="G282" i="28"/>
  <c r="S282" i="28" s="1"/>
  <c r="G216" i="28"/>
  <c r="S216" i="28" s="1"/>
  <c r="S17" i="28"/>
  <c r="D219" i="28"/>
  <c r="R219" i="28" s="1"/>
  <c r="R20" i="28"/>
  <c r="G287" i="28"/>
  <c r="S287" i="28" s="1"/>
  <c r="G221" i="28"/>
  <c r="S221" i="28" s="1"/>
  <c r="T22" i="28"/>
  <c r="J223" i="28"/>
  <c r="T223" i="28" s="1"/>
  <c r="J224" i="28"/>
  <c r="T224" i="28" s="1"/>
  <c r="J225" i="28"/>
  <c r="T225" i="28" s="1"/>
  <c r="J226" i="28"/>
  <c r="T226" i="28" s="1"/>
  <c r="J228" i="28"/>
  <c r="T228" i="28" s="1"/>
  <c r="J249" i="28"/>
  <c r="T249" i="28" s="1"/>
  <c r="T116" i="28"/>
  <c r="G238" i="28"/>
  <c r="S238" i="28" s="1"/>
  <c r="T140" i="28"/>
  <c r="D264" i="28"/>
  <c r="R264" i="28" s="1"/>
  <c r="J246" i="28"/>
  <c r="T246" i="28" s="1"/>
  <c r="D278" i="28"/>
  <c r="R278" i="28" s="1"/>
  <c r="D212" i="28"/>
  <c r="R212" i="28" s="1"/>
  <c r="J279" i="28"/>
  <c r="T279" i="28" s="1"/>
  <c r="J213" i="28"/>
  <c r="T213" i="28" s="1"/>
  <c r="J284" i="28"/>
  <c r="T284" i="28" s="1"/>
  <c r="J218" i="28"/>
  <c r="T218" i="28" s="1"/>
  <c r="R21" i="28"/>
  <c r="T120" i="28"/>
  <c r="G235" i="28"/>
  <c r="S235" i="28" s="1"/>
  <c r="T10" i="28"/>
  <c r="S13" i="28"/>
  <c r="R16" i="28"/>
  <c r="G283" i="28"/>
  <c r="S283" i="28" s="1"/>
  <c r="G217" i="28"/>
  <c r="S217" i="28" s="1"/>
  <c r="G286" i="28"/>
  <c r="S286" i="28" s="1"/>
  <c r="G220" i="28"/>
  <c r="S220" i="28" s="1"/>
  <c r="D247" i="28"/>
  <c r="R247" i="28" s="1"/>
  <c r="R114" i="28"/>
  <c r="T128" i="28"/>
  <c r="J239" i="28"/>
  <c r="T239" i="28" s="1"/>
  <c r="J274" i="28"/>
  <c r="T274" i="28" s="1"/>
  <c r="T9" i="28"/>
  <c r="T11" i="28"/>
  <c r="S14" i="28"/>
  <c r="J280" i="28"/>
  <c r="T280" i="28" s="1"/>
  <c r="J214" i="28"/>
  <c r="T214" i="28" s="1"/>
  <c r="D282" i="28"/>
  <c r="R282" i="28" s="1"/>
  <c r="R17" i="28"/>
  <c r="J283" i="28"/>
  <c r="T283" i="28" s="1"/>
  <c r="J217" i="28"/>
  <c r="T217" i="28" s="1"/>
  <c r="T19" i="28"/>
  <c r="S22" i="28"/>
  <c r="J245" i="28"/>
  <c r="T245" i="28" s="1"/>
  <c r="T112" i="28"/>
  <c r="D229" i="28"/>
  <c r="R229" i="28" s="1"/>
  <c r="R118" i="28"/>
  <c r="D237" i="28"/>
  <c r="R237" i="28" s="1"/>
  <c r="S127" i="28"/>
  <c r="D253" i="28"/>
  <c r="R253" i="28" s="1"/>
  <c r="R142" i="28"/>
  <c r="T147" i="28"/>
  <c r="J258" i="28"/>
  <c r="T258" i="28" s="1"/>
  <c r="G261" i="28"/>
  <c r="S261" i="28" s="1"/>
  <c r="S150" i="28"/>
  <c r="T110" i="28"/>
  <c r="D246" i="28"/>
  <c r="R246" i="28" s="1"/>
  <c r="R113" i="28"/>
  <c r="J230" i="28"/>
  <c r="T230" i="28" s="1"/>
  <c r="D249" i="28"/>
  <c r="R249" i="28" s="1"/>
  <c r="G267" i="28"/>
  <c r="S267" i="28" s="1"/>
  <c r="G201" i="28"/>
  <c r="S201" i="28" s="1"/>
  <c r="G202" i="28"/>
  <c r="S202" i="28" s="1"/>
  <c r="G268" i="28"/>
  <c r="S268" i="28" s="1"/>
  <c r="G275" i="28"/>
  <c r="S275" i="28" s="1"/>
  <c r="G209" i="28"/>
  <c r="S209" i="28" s="1"/>
  <c r="G210" i="28"/>
  <c r="S210" i="28" s="1"/>
  <c r="G276" i="28"/>
  <c r="S276" i="28" s="1"/>
  <c r="S11" i="28"/>
  <c r="T12" i="28"/>
  <c r="R14" i="28"/>
  <c r="S15" i="28"/>
  <c r="J215" i="28"/>
  <c r="T215" i="28" s="1"/>
  <c r="J281" i="28"/>
  <c r="T281" i="28" s="1"/>
  <c r="T16" i="28"/>
  <c r="D283" i="28"/>
  <c r="R283" i="28" s="1"/>
  <c r="D217" i="28"/>
  <c r="R217" i="28" s="1"/>
  <c r="R18" i="28"/>
  <c r="G218" i="28"/>
  <c r="S218" i="28" s="1"/>
  <c r="G284" i="28"/>
  <c r="S284" i="28" s="1"/>
  <c r="S19" i="28"/>
  <c r="T20" i="28"/>
  <c r="D285" i="28"/>
  <c r="R285" i="28" s="1"/>
  <c r="R22" i="28"/>
  <c r="G224" i="28"/>
  <c r="S224" i="28" s="1"/>
  <c r="G225" i="28"/>
  <c r="S225" i="28" s="1"/>
  <c r="G226" i="28"/>
  <c r="S226" i="28" s="1"/>
  <c r="G227" i="28"/>
  <c r="S227" i="28" s="1"/>
  <c r="G228" i="28"/>
  <c r="S228" i="28" s="1"/>
  <c r="T117" i="28"/>
  <c r="J232" i="28"/>
  <c r="T232" i="28" s="1"/>
  <c r="D238" i="28"/>
  <c r="R238" i="28" s="1"/>
  <c r="R127" i="28"/>
  <c r="G239" i="28"/>
  <c r="S239" i="28" s="1"/>
  <c r="S128" i="28"/>
  <c r="D240" i="28"/>
  <c r="R240" i="28" s="1"/>
  <c r="R129" i="28"/>
  <c r="G242" i="28"/>
  <c r="S242" i="28" s="1"/>
  <c r="S131" i="28"/>
  <c r="R143" i="28"/>
  <c r="G256" i="28"/>
  <c r="S256" i="28" s="1"/>
  <c r="S145" i="28"/>
  <c r="D259" i="28"/>
  <c r="R259" i="28" s="1"/>
  <c r="R148" i="28"/>
  <c r="G263" i="28"/>
  <c r="S263" i="28" s="1"/>
  <c r="S152" i="28"/>
  <c r="G207" i="28"/>
  <c r="S207" i="28" s="1"/>
  <c r="D213" i="28"/>
  <c r="R213" i="28" s="1"/>
  <c r="J219" i="28"/>
  <c r="T219" i="28" s="1"/>
  <c r="D248" i="28"/>
  <c r="R248" i="28" s="1"/>
  <c r="J253" i="28"/>
  <c r="T253" i="28" s="1"/>
  <c r="D255" i="28"/>
  <c r="R255" i="28" s="1"/>
  <c r="D263" i="28"/>
  <c r="R263" i="28" s="1"/>
  <c r="J248" i="28"/>
  <c r="T248" i="28" s="1"/>
  <c r="T119" i="28"/>
  <c r="T127" i="28"/>
  <c r="J240" i="28"/>
  <c r="T240" i="28" s="1"/>
  <c r="G243" i="28"/>
  <c r="S243" i="28" s="1"/>
  <c r="R149" i="28"/>
  <c r="D267" i="28"/>
  <c r="R267" i="28" s="1"/>
  <c r="D268" i="28"/>
  <c r="R268" i="28" s="1"/>
  <c r="D202" i="28"/>
  <c r="R202" i="28" s="1"/>
  <c r="D269" i="28"/>
  <c r="R269" i="28" s="1"/>
  <c r="D270" i="28"/>
  <c r="R270" i="28" s="1"/>
  <c r="D204" i="28"/>
  <c r="R204" i="28" s="1"/>
  <c r="D271" i="28"/>
  <c r="R271" i="28" s="1"/>
  <c r="D273" i="28"/>
  <c r="R273" i="28" s="1"/>
  <c r="D207" i="28"/>
  <c r="R207" i="28" s="1"/>
  <c r="D274" i="28"/>
  <c r="R274" i="28" s="1"/>
  <c r="D208" i="28"/>
  <c r="R208" i="28" s="1"/>
  <c r="D275" i="28"/>
  <c r="R275" i="28" s="1"/>
  <c r="D276" i="28"/>
  <c r="R276" i="28" s="1"/>
  <c r="D210" i="28"/>
  <c r="R210" i="28" s="1"/>
  <c r="R11" i="28"/>
  <c r="G211" i="28"/>
  <c r="S211" i="28" s="1"/>
  <c r="G277" i="28"/>
  <c r="S277" i="28" s="1"/>
  <c r="S12" i="28"/>
  <c r="T13" i="28"/>
  <c r="R15" i="28"/>
  <c r="G281" i="28"/>
  <c r="S281" i="28" s="1"/>
  <c r="G215" i="28"/>
  <c r="S215" i="28" s="1"/>
  <c r="S16" i="28"/>
  <c r="T17" i="28"/>
  <c r="D284" i="28"/>
  <c r="R284" i="28" s="1"/>
  <c r="D218" i="28"/>
  <c r="R218" i="28" s="1"/>
  <c r="R19" i="28"/>
  <c r="G219" i="28"/>
  <c r="S219" i="28" s="1"/>
  <c r="G285" i="28"/>
  <c r="S285" i="28" s="1"/>
  <c r="S20" i="28"/>
  <c r="T21" i="28"/>
  <c r="D223" i="28"/>
  <c r="R223" i="28" s="1"/>
  <c r="D226" i="28"/>
  <c r="R226" i="28" s="1"/>
  <c r="D227" i="28"/>
  <c r="R227" i="28" s="1"/>
  <c r="D228" i="28"/>
  <c r="R228" i="28" s="1"/>
  <c r="R112" i="28"/>
  <c r="D245" i="28"/>
  <c r="R245" i="28" s="1"/>
  <c r="J247" i="28"/>
  <c r="T247" i="28" s="1"/>
  <c r="T114" i="28"/>
  <c r="J229" i="28"/>
  <c r="T229" i="28" s="1"/>
  <c r="T118" i="28"/>
  <c r="D231" i="28"/>
  <c r="R231" i="28" s="1"/>
  <c r="R120" i="28"/>
  <c r="T121" i="28"/>
  <c r="G234" i="28"/>
  <c r="S234" i="28" s="1"/>
  <c r="J236" i="28"/>
  <c r="T236" i="28" s="1"/>
  <c r="R126" i="28"/>
  <c r="G241" i="28"/>
  <c r="S241" i="28" s="1"/>
  <c r="R145" i="28"/>
  <c r="R147" i="28"/>
  <c r="T149" i="28"/>
  <c r="D203" i="28"/>
  <c r="R203" i="28" s="1"/>
  <c r="M207" i="28"/>
  <c r="D209" i="28"/>
  <c r="R209" i="28" s="1"/>
  <c r="G214" i="28"/>
  <c r="S214" i="28" s="1"/>
  <c r="D221" i="28"/>
  <c r="R221" i="28" s="1"/>
  <c r="M230" i="28"/>
  <c r="J235" i="28"/>
  <c r="T235" i="28" s="1"/>
  <c r="D250" i="28"/>
  <c r="R250" i="28" s="1"/>
  <c r="D251" i="28"/>
  <c r="R251" i="28" s="1"/>
  <c r="D272" i="28"/>
  <c r="R272" i="28" s="1"/>
  <c r="J282" i="28"/>
  <c r="T282" i="28" s="1"/>
  <c r="D234" i="28"/>
  <c r="R234" i="28" s="1"/>
  <c r="G237" i="28"/>
  <c r="S237" i="28" s="1"/>
  <c r="M250" i="28"/>
  <c r="D252" i="28"/>
  <c r="R252" i="28" s="1"/>
  <c r="J256" i="28"/>
  <c r="T256" i="28" s="1"/>
  <c r="D262" i="28"/>
  <c r="R262" i="28" s="1"/>
  <c r="G232" i="28"/>
  <c r="S232" i="28" s="1"/>
  <c r="S121" i="28"/>
  <c r="J233" i="28"/>
  <c r="T233" i="28" s="1"/>
  <c r="T122" i="28"/>
  <c r="D241" i="28"/>
  <c r="R241" i="28" s="1"/>
  <c r="R130" i="28"/>
  <c r="J254" i="28"/>
  <c r="T254" i="28" s="1"/>
  <c r="S149" i="28"/>
  <c r="R153" i="28"/>
  <c r="G265" i="28"/>
  <c r="S265" i="28" s="1"/>
  <c r="M225" i="28"/>
  <c r="M226" i="28"/>
  <c r="D235" i="28"/>
  <c r="R235" i="28" s="1"/>
  <c r="R124" i="28"/>
  <c r="G236" i="28"/>
  <c r="S236" i="28" s="1"/>
  <c r="S125" i="28"/>
  <c r="J237" i="28"/>
  <c r="T237" i="28" s="1"/>
  <c r="T126" i="28"/>
  <c r="D239" i="28"/>
  <c r="R239" i="28" s="1"/>
  <c r="R128" i="28"/>
  <c r="G240" i="28"/>
  <c r="S240" i="28" s="1"/>
  <c r="S129" i="28"/>
  <c r="J241" i="28"/>
  <c r="T241" i="28" s="1"/>
  <c r="T130" i="28"/>
  <c r="S143" i="28"/>
  <c r="T144" i="28"/>
  <c r="R146" i="28"/>
  <c r="S147" i="28"/>
  <c r="T148" i="28"/>
  <c r="R150" i="28"/>
  <c r="S151" i="28"/>
  <c r="T152" i="28"/>
  <c r="R154" i="28"/>
  <c r="M224" i="28"/>
  <c r="M228" i="28"/>
  <c r="D243" i="28"/>
  <c r="R243" i="28" s="1"/>
  <c r="D286" i="28"/>
  <c r="R286" i="28" s="1"/>
  <c r="G3" i="11"/>
  <c r="G4" i="11"/>
  <c r="G5" i="11"/>
  <c r="G6" i="11"/>
  <c r="G7" i="11"/>
  <c r="G8" i="11"/>
  <c r="G9" i="11"/>
  <c r="G10" i="11"/>
  <c r="G11" i="11"/>
  <c r="G12" i="11"/>
  <c r="G13" i="11"/>
  <c r="G14" i="11"/>
  <c r="G15" i="11"/>
  <c r="G16" i="11"/>
  <c r="O212" i="4"/>
  <c r="O215" i="4"/>
  <c r="G17" i="11"/>
  <c r="D12" i="11"/>
  <c r="D13" i="11"/>
  <c r="D14" i="11"/>
  <c r="D15" i="11"/>
  <c r="D17" i="11"/>
  <c r="G18" i="11"/>
  <c r="D18" i="11"/>
  <c r="D16" i="11"/>
  <c r="M139" i="29"/>
  <c r="L155" i="29"/>
  <c r="J170" i="29"/>
  <c r="I221" i="29"/>
  <c r="L257" i="29"/>
  <c r="L273" i="29"/>
  <c r="L306" i="29"/>
  <c r="L324" i="29"/>
  <c r="L170" i="29"/>
  <c r="M204" i="29"/>
  <c r="J221" i="29"/>
  <c r="M239" i="29"/>
  <c r="M257" i="29"/>
  <c r="M273" i="29"/>
  <c r="M289" i="29"/>
  <c r="M306" i="29"/>
  <c r="M324" i="29"/>
  <c r="I155" i="29"/>
  <c r="M170" i="29"/>
  <c r="I187" i="29"/>
  <c r="L221" i="29"/>
  <c r="I239" i="29"/>
  <c r="I257" i="29"/>
  <c r="I273" i="29"/>
  <c r="I306" i="29"/>
  <c r="I324" i="29"/>
  <c r="I342" i="29"/>
  <c r="O18" i="4"/>
  <c r="O52" i="4"/>
  <c r="L139" i="29"/>
  <c r="J155" i="29"/>
  <c r="I170" i="29"/>
  <c r="J239" i="29"/>
  <c r="J289" i="29"/>
  <c r="J324" i="29"/>
  <c r="L342" i="29"/>
  <c r="E378" i="29"/>
  <c r="H378" i="29"/>
  <c r="M92" i="4"/>
  <c r="O13" i="4"/>
  <c r="O72" i="4"/>
  <c r="O167" i="4"/>
  <c r="O182" i="4"/>
  <c r="M93" i="4"/>
  <c r="O99" i="4"/>
  <c r="O92" i="4"/>
  <c r="O138" i="4"/>
  <c r="M165" i="4"/>
  <c r="O168" i="4"/>
  <c r="O174" i="4"/>
  <c r="O178" i="4"/>
  <c r="O184" i="4"/>
  <c r="M227" i="4"/>
  <c r="O19" i="4"/>
  <c r="O58" i="4"/>
  <c r="O90" i="4"/>
  <c r="O93" i="4"/>
  <c r="O98" i="4"/>
  <c r="O227" i="4"/>
  <c r="F12" i="4"/>
  <c r="O12" i="4"/>
  <c r="H15" i="4"/>
  <c r="O15" i="4"/>
  <c r="F22" i="4"/>
  <c r="O22" i="4"/>
  <c r="F26" i="4"/>
  <c r="O26" i="4"/>
  <c r="H33" i="4"/>
  <c r="O33" i="4"/>
  <c r="F49" i="4"/>
  <c r="O49" i="4"/>
  <c r="H77" i="4"/>
  <c r="O77" i="4"/>
  <c r="H82" i="4"/>
  <c r="O82" i="4"/>
  <c r="F94" i="4"/>
  <c r="O94" i="4"/>
  <c r="H100" i="4"/>
  <c r="O100" i="4"/>
  <c r="F117" i="4"/>
  <c r="O117" i="4"/>
  <c r="F122" i="4"/>
  <c r="O122" i="4"/>
  <c r="H135" i="4"/>
  <c r="O135" i="4"/>
  <c r="H143" i="4"/>
  <c r="O143" i="4"/>
  <c r="F147" i="4"/>
  <c r="O147" i="4"/>
  <c r="F150" i="4"/>
  <c r="O150" i="4"/>
  <c r="F176" i="4"/>
  <c r="O176" i="4"/>
  <c r="F6" i="4"/>
  <c r="O6" i="4"/>
  <c r="O24" i="4"/>
  <c r="F32" i="4"/>
  <c r="O32" i="4"/>
  <c r="F37" i="4"/>
  <c r="O37" i="4"/>
  <c r="H40" i="4"/>
  <c r="O40" i="4"/>
  <c r="F43" i="4"/>
  <c r="O43" i="4"/>
  <c r="F44" i="4"/>
  <c r="O44" i="4"/>
  <c r="H55" i="4"/>
  <c r="O55" i="4"/>
  <c r="F63" i="4"/>
  <c r="O63" i="4"/>
  <c r="F64" i="4"/>
  <c r="O64" i="4"/>
  <c r="F70" i="4"/>
  <c r="O70" i="4"/>
  <c r="H74" i="4"/>
  <c r="O74" i="4"/>
  <c r="H76" i="4"/>
  <c r="O76" i="4"/>
  <c r="H78" i="4"/>
  <c r="O78" i="4"/>
  <c r="H80" i="4"/>
  <c r="O80" i="4"/>
  <c r="F89" i="4"/>
  <c r="O89" i="4"/>
  <c r="H95" i="4"/>
  <c r="O95" i="4"/>
  <c r="H97" i="4"/>
  <c r="O97" i="4"/>
  <c r="F104" i="4"/>
  <c r="O104" i="4"/>
  <c r="F110" i="4"/>
  <c r="O110" i="4"/>
  <c r="H115" i="4"/>
  <c r="O115" i="4"/>
  <c r="H118" i="4"/>
  <c r="O118" i="4"/>
  <c r="H119" i="4"/>
  <c r="O119" i="4"/>
  <c r="F120" i="4"/>
  <c r="O120" i="4"/>
  <c r="F125" i="4"/>
  <c r="O125" i="4"/>
  <c r="H133" i="4"/>
  <c r="O133" i="4"/>
  <c r="H140" i="4"/>
  <c r="O140" i="4"/>
  <c r="F145" i="4"/>
  <c r="O145" i="4"/>
  <c r="H148" i="4"/>
  <c r="O148" i="4"/>
  <c r="F156" i="4"/>
  <c r="O156" i="4"/>
  <c r="H170" i="4"/>
  <c r="O170" i="4"/>
  <c r="H172" i="4"/>
  <c r="O172" i="4"/>
  <c r="H175" i="4"/>
  <c r="O175" i="4"/>
  <c r="H177" i="4"/>
  <c r="O177" i="4"/>
  <c r="H180" i="4"/>
  <c r="O180" i="4"/>
  <c r="F185" i="4"/>
  <c r="O185" i="4"/>
  <c r="F193" i="4"/>
  <c r="O193" i="4"/>
  <c r="F194" i="4"/>
  <c r="O194" i="4"/>
  <c r="F206" i="4"/>
  <c r="O206" i="4"/>
  <c r="H209" i="4"/>
  <c r="O209" i="4"/>
  <c r="H223" i="4"/>
  <c r="O223" i="4"/>
  <c r="F226" i="4"/>
  <c r="O226" i="4"/>
  <c r="H229" i="4"/>
  <c r="O229" i="4"/>
  <c r="F3" i="4"/>
  <c r="O3" i="4"/>
  <c r="F4" i="4"/>
  <c r="O4" i="4"/>
  <c r="F5" i="4"/>
  <c r="O5" i="4"/>
  <c r="O8" i="4"/>
  <c r="H10" i="4"/>
  <c r="O10" i="4"/>
  <c r="F16" i="4"/>
  <c r="O16" i="4"/>
  <c r="F17" i="4"/>
  <c r="O17" i="4"/>
  <c r="H20" i="4"/>
  <c r="O20" i="4"/>
  <c r="H23" i="4"/>
  <c r="O23" i="4"/>
  <c r="O27" i="4"/>
  <c r="F34" i="4"/>
  <c r="O34" i="4"/>
  <c r="F35" i="4"/>
  <c r="O35" i="4"/>
  <c r="F36" i="4"/>
  <c r="O36" i="4"/>
  <c r="H42" i="4"/>
  <c r="O42" i="4"/>
  <c r="F47" i="4"/>
  <c r="O47" i="4"/>
  <c r="O50" i="4"/>
  <c r="F53" i="4"/>
  <c r="O53" i="4"/>
  <c r="F54" i="4"/>
  <c r="O54" i="4"/>
  <c r="O62" i="4"/>
  <c r="F66" i="4"/>
  <c r="O66" i="4"/>
  <c r="F69" i="4"/>
  <c r="O69" i="4"/>
  <c r="F73" i="4"/>
  <c r="O73" i="4"/>
  <c r="F82" i="4"/>
  <c r="F83" i="4"/>
  <c r="O83" i="4"/>
  <c r="F85" i="4"/>
  <c r="O85" i="4"/>
  <c r="H103" i="4"/>
  <c r="O103" i="4"/>
  <c r="H107" i="4"/>
  <c r="O107" i="4"/>
  <c r="F109" i="4"/>
  <c r="O109" i="4"/>
  <c r="F113" i="4"/>
  <c r="O113" i="4"/>
  <c r="F114" i="4"/>
  <c r="O114" i="4"/>
  <c r="M118" i="4"/>
  <c r="F123" i="4"/>
  <c r="O123" i="4"/>
  <c r="F124" i="4"/>
  <c r="O124" i="4"/>
  <c r="F128" i="4"/>
  <c r="O128" i="4"/>
  <c r="O129" i="4"/>
  <c r="F130" i="4"/>
  <c r="O130" i="4"/>
  <c r="F136" i="4"/>
  <c r="O136" i="4"/>
  <c r="F139" i="4"/>
  <c r="O139" i="4"/>
  <c r="F144" i="4"/>
  <c r="O144" i="4"/>
  <c r="H153" i="4"/>
  <c r="O153" i="4"/>
  <c r="O155" i="4"/>
  <c r="F158" i="4"/>
  <c r="O158" i="4"/>
  <c r="F163" i="4"/>
  <c r="O163" i="4"/>
  <c r="H165" i="4"/>
  <c r="O165" i="4"/>
  <c r="F166" i="4"/>
  <c r="O166" i="4"/>
  <c r="F169" i="4"/>
  <c r="O169" i="4"/>
  <c r="F179" i="4"/>
  <c r="O179" i="4"/>
  <c r="F187" i="4"/>
  <c r="O187" i="4"/>
  <c r="H190" i="4"/>
  <c r="O190" i="4"/>
  <c r="F192" i="4"/>
  <c r="O192" i="4"/>
  <c r="F198" i="4"/>
  <c r="O198" i="4"/>
  <c r="O200" i="4"/>
  <c r="H202" i="4"/>
  <c r="O202" i="4"/>
  <c r="O205" i="4"/>
  <c r="F207" i="4"/>
  <c r="O207" i="4"/>
  <c r="H208" i="4"/>
  <c r="O208" i="4"/>
  <c r="F220" i="4"/>
  <c r="O220" i="4"/>
  <c r="K223" i="4"/>
  <c r="H225" i="4"/>
  <c r="O225" i="4"/>
  <c r="K229" i="4"/>
  <c r="H2" i="4"/>
  <c r="O2" i="4"/>
  <c r="F39" i="4"/>
  <c r="O39" i="4"/>
  <c r="F46" i="4"/>
  <c r="O46" i="4"/>
  <c r="H57" i="4"/>
  <c r="O57" i="4"/>
  <c r="H68" i="4"/>
  <c r="O68" i="4"/>
  <c r="H75" i="4"/>
  <c r="O75" i="4"/>
  <c r="H79" i="4"/>
  <c r="O79" i="4"/>
  <c r="F87" i="4"/>
  <c r="O87" i="4"/>
  <c r="H88" i="4"/>
  <c r="O88" i="4"/>
  <c r="F96" i="4"/>
  <c r="O96" i="4"/>
  <c r="F106" i="4"/>
  <c r="O106" i="4"/>
  <c r="F112" i="4"/>
  <c r="O112" i="4"/>
  <c r="F127" i="4"/>
  <c r="O127" i="4"/>
  <c r="F132" i="4"/>
  <c r="O132" i="4"/>
  <c r="F160" i="4"/>
  <c r="O160" i="4"/>
  <c r="F189" i="4"/>
  <c r="O189" i="4"/>
  <c r="F196" i="4"/>
  <c r="O196" i="4"/>
  <c r="F197" i="4"/>
  <c r="O197" i="4"/>
  <c r="F204" i="4"/>
  <c r="O204" i="4"/>
  <c r="H214" i="4"/>
  <c r="O214" i="4"/>
  <c r="H219" i="4"/>
  <c r="O219" i="4"/>
  <c r="F222" i="4"/>
  <c r="O222" i="4"/>
  <c r="F228" i="4"/>
  <c r="O228" i="4"/>
  <c r="F7" i="4"/>
  <c r="O7" i="4"/>
  <c r="F14" i="4"/>
  <c r="O14" i="4"/>
  <c r="K19" i="4"/>
  <c r="K22" i="4"/>
  <c r="F25" i="4"/>
  <c r="O25" i="4"/>
  <c r="O28" i="4"/>
  <c r="F30" i="4"/>
  <c r="O30" i="4"/>
  <c r="H38" i="4"/>
  <c r="O38" i="4"/>
  <c r="F45" i="4"/>
  <c r="O45" i="4"/>
  <c r="F48" i="4"/>
  <c r="O48" i="4"/>
  <c r="F56" i="4"/>
  <c r="O56" i="4"/>
  <c r="F59" i="4"/>
  <c r="O59" i="4"/>
  <c r="F60" i="4"/>
  <c r="O60" i="4"/>
  <c r="H65" i="4"/>
  <c r="O65" i="4"/>
  <c r="F67" i="4"/>
  <c r="O67" i="4"/>
  <c r="F84" i="4"/>
  <c r="O84" i="4"/>
  <c r="H86" i="4"/>
  <c r="O86" i="4"/>
  <c r="F102" i="4"/>
  <c r="O102" i="4"/>
  <c r="H104" i="4"/>
  <c r="M105" i="4"/>
  <c r="F108" i="4"/>
  <c r="O108" i="4"/>
  <c r="F116" i="4"/>
  <c r="O116" i="4"/>
  <c r="F126" i="4"/>
  <c r="O126" i="4"/>
  <c r="F134" i="4"/>
  <c r="O134" i="4"/>
  <c r="F146" i="4"/>
  <c r="O146" i="4"/>
  <c r="H149" i="4"/>
  <c r="O149" i="4"/>
  <c r="H152" i="4"/>
  <c r="O152" i="4"/>
  <c r="F154" i="4"/>
  <c r="O154" i="4"/>
  <c r="H157" i="4"/>
  <c r="O157" i="4"/>
  <c r="O159" i="4"/>
  <c r="O162" i="4"/>
  <c r="H164" i="4"/>
  <c r="O164" i="4"/>
  <c r="F173" i="4"/>
  <c r="O173" i="4"/>
  <c r="F183" i="4"/>
  <c r="O183" i="4"/>
  <c r="H186" i="4"/>
  <c r="O186" i="4"/>
  <c r="H188" i="4"/>
  <c r="O188" i="4"/>
  <c r="H195" i="4"/>
  <c r="O195" i="4"/>
  <c r="O199" i="4"/>
  <c r="H203" i="4"/>
  <c r="O203" i="4"/>
  <c r="F213" i="4"/>
  <c r="O213" i="4"/>
  <c r="F216" i="4"/>
  <c r="O216" i="4"/>
  <c r="F217" i="4"/>
  <c r="O217" i="4"/>
  <c r="H218" i="4"/>
  <c r="O218" i="4"/>
  <c r="F224" i="4"/>
  <c r="O224" i="4"/>
  <c r="H230" i="4"/>
  <c r="O230" i="4"/>
  <c r="E13" i="1"/>
  <c r="F14" i="1"/>
  <c r="E15" i="1"/>
  <c r="E17" i="1"/>
  <c r="C18" i="1"/>
  <c r="E20" i="1"/>
  <c r="C23" i="1"/>
  <c r="L246" i="4"/>
  <c r="L251" i="4"/>
  <c r="J252" i="4"/>
  <c r="L253" i="4"/>
  <c r="F180" i="4"/>
  <c r="J257" i="4"/>
  <c r="E30" i="1"/>
  <c r="G260" i="4"/>
  <c r="J262" i="4"/>
  <c r="F12" i="1"/>
  <c r="F13" i="1"/>
  <c r="C16" i="1"/>
  <c r="L245" i="4"/>
  <c r="H67" i="4"/>
  <c r="B18" i="1"/>
  <c r="F100" i="4"/>
  <c r="F107" i="4"/>
  <c r="M117" i="4"/>
  <c r="H122" i="4"/>
  <c r="K133" i="4"/>
  <c r="K157" i="4"/>
  <c r="I16" i="11"/>
  <c r="S6" i="14" s="1"/>
  <c r="S7" i="14" s="1"/>
  <c r="M222" i="4"/>
  <c r="I18" i="11"/>
  <c r="U6" i="14" s="1"/>
  <c r="U7" i="14" s="1"/>
  <c r="H8" i="11"/>
  <c r="B14" i="14" s="1"/>
  <c r="G256" i="4"/>
  <c r="F33" i="1"/>
  <c r="C12" i="1"/>
  <c r="B14" i="1"/>
  <c r="E16" i="1"/>
  <c r="C14" i="1"/>
  <c r="B15" i="1"/>
  <c r="F16" i="1"/>
  <c r="B17" i="1"/>
  <c r="H66" i="4"/>
  <c r="C19" i="1"/>
  <c r="E248" i="4"/>
  <c r="F21" i="1"/>
  <c r="H7" i="11"/>
  <c r="B12" i="14" s="1"/>
  <c r="E252" i="4"/>
  <c r="J254" i="4"/>
  <c r="E27" i="1"/>
  <c r="F175" i="4"/>
  <c r="M178" i="4"/>
  <c r="E257" i="4"/>
  <c r="B34" i="1"/>
  <c r="F10" i="4"/>
  <c r="K72" i="4"/>
  <c r="M39" i="4"/>
  <c r="F65" i="4"/>
  <c r="H96" i="4"/>
  <c r="M137" i="4"/>
  <c r="F140" i="4"/>
  <c r="M143" i="4"/>
  <c r="H147" i="4"/>
  <c r="M162" i="4"/>
  <c r="K177" i="4"/>
  <c r="H185" i="4"/>
  <c r="F219" i="4"/>
  <c r="N210" i="4"/>
  <c r="K210" i="4" s="1"/>
  <c r="F20" i="4"/>
  <c r="F103" i="4"/>
  <c r="F42" i="4"/>
  <c r="F86" i="4"/>
  <c r="F97" i="4"/>
  <c r="M132" i="4"/>
  <c r="F148" i="4"/>
  <c r="I151" i="4"/>
  <c r="K239" i="29" s="1"/>
  <c r="H154" i="4"/>
  <c r="K155" i="4"/>
  <c r="M163" i="4"/>
  <c r="I210" i="4"/>
  <c r="H210" i="4" s="1"/>
  <c r="M228" i="4"/>
  <c r="K241" i="4"/>
  <c r="M18" i="4"/>
  <c r="K28" i="4"/>
  <c r="H30" i="4"/>
  <c r="M33" i="4"/>
  <c r="H37" i="4"/>
  <c r="H47" i="4"/>
  <c r="M52" i="4"/>
  <c r="F55" i="4"/>
  <c r="M57" i="4"/>
  <c r="M69" i="4"/>
  <c r="H89" i="4"/>
  <c r="K99" i="4"/>
  <c r="K102" i="4"/>
  <c r="F115" i="4"/>
  <c r="H125" i="4"/>
  <c r="K127" i="4"/>
  <c r="M135" i="4"/>
  <c r="F143" i="4"/>
  <c r="K153" i="4"/>
  <c r="F165" i="4"/>
  <c r="C272" i="4"/>
  <c r="H187" i="4"/>
  <c r="F188" i="4"/>
  <c r="F190" i="4"/>
  <c r="C267" i="4"/>
  <c r="M192" i="4"/>
  <c r="M200" i="4"/>
  <c r="F202" i="4"/>
  <c r="F214" i="4"/>
  <c r="M215" i="4"/>
  <c r="M230" i="4"/>
  <c r="L260" i="4"/>
  <c r="G279" i="4"/>
  <c r="H12" i="11"/>
  <c r="K12" i="11" s="1"/>
  <c r="D266" i="4"/>
  <c r="H12" i="4"/>
  <c r="K13" i="4"/>
  <c r="K15" i="4"/>
  <c r="H22" i="4"/>
  <c r="F23" i="4"/>
  <c r="H25" i="4"/>
  <c r="M27" i="4"/>
  <c r="F33" i="4"/>
  <c r="H39" i="4"/>
  <c r="F40" i="4"/>
  <c r="K62" i="4"/>
  <c r="F77" i="4"/>
  <c r="F78" i="4"/>
  <c r="K85" i="4"/>
  <c r="M90" i="4"/>
  <c r="M96" i="4"/>
  <c r="K97" i="4"/>
  <c r="M98" i="4"/>
  <c r="M103" i="4"/>
  <c r="K104" i="4"/>
  <c r="H109" i="4"/>
  <c r="M112" i="4"/>
  <c r="H117" i="4"/>
  <c r="F118" i="4"/>
  <c r="H132" i="4"/>
  <c r="F133" i="4"/>
  <c r="H145" i="4"/>
  <c r="M148" i="4"/>
  <c r="M149" i="4"/>
  <c r="M152" i="4"/>
  <c r="K159" i="4"/>
  <c r="H163" i="4"/>
  <c r="F164" i="4"/>
  <c r="K168" i="4"/>
  <c r="K170" i="4"/>
  <c r="F177" i="4"/>
  <c r="K182" i="4"/>
  <c r="M184" i="4"/>
  <c r="M185" i="4"/>
  <c r="K186" i="4"/>
  <c r="H198" i="4"/>
  <c r="M199" i="4"/>
  <c r="K212" i="4"/>
  <c r="F225" i="4"/>
  <c r="H228" i="4"/>
  <c r="F229" i="4"/>
  <c r="F230" i="4"/>
  <c r="J246" i="4"/>
  <c r="L262" i="4"/>
  <c r="D267" i="4"/>
  <c r="M37" i="4"/>
  <c r="M42" i="4"/>
  <c r="K45" i="4"/>
  <c r="M50" i="4"/>
  <c r="H69" i="4"/>
  <c r="F74" i="4"/>
  <c r="M88" i="4"/>
  <c r="K89" i="4"/>
  <c r="M94" i="4"/>
  <c r="H102" i="4"/>
  <c r="F135" i="4"/>
  <c r="K142" i="4"/>
  <c r="I171" i="4"/>
  <c r="H176" i="4"/>
  <c r="M187" i="4"/>
  <c r="K188" i="4"/>
  <c r="M190" i="4"/>
  <c r="H192" i="4"/>
  <c r="M205" i="4"/>
  <c r="I221" i="4"/>
  <c r="H222" i="4"/>
  <c r="F223" i="4"/>
  <c r="H224" i="4"/>
  <c r="G248" i="4"/>
  <c r="F32" i="1"/>
  <c r="B29" i="14"/>
  <c r="G251" i="4"/>
  <c r="C33" i="14"/>
  <c r="C9" i="14"/>
  <c r="G245" i="4"/>
  <c r="I3" i="14"/>
  <c r="C7" i="14"/>
  <c r="C11" i="14"/>
  <c r="F18" i="1"/>
  <c r="L3" i="14"/>
  <c r="C15" i="14"/>
  <c r="U3" i="14"/>
  <c r="K20" i="4"/>
  <c r="M20" i="4"/>
  <c r="H27" i="4"/>
  <c r="F27" i="4"/>
  <c r="M32" i="4"/>
  <c r="K32" i="4"/>
  <c r="I61" i="4"/>
  <c r="H52" i="4"/>
  <c r="F52" i="4"/>
  <c r="H58" i="4"/>
  <c r="F58" i="4"/>
  <c r="M76" i="4"/>
  <c r="K76" i="4"/>
  <c r="M80" i="4"/>
  <c r="K80" i="4"/>
  <c r="E247" i="4"/>
  <c r="B19" i="1"/>
  <c r="H92" i="4"/>
  <c r="F92" i="4"/>
  <c r="F98" i="4"/>
  <c r="H98" i="4"/>
  <c r="M109" i="4"/>
  <c r="K109" i="4"/>
  <c r="B22" i="1"/>
  <c r="K138" i="4"/>
  <c r="M138" i="4"/>
  <c r="C25" i="1"/>
  <c r="F167" i="4"/>
  <c r="H167" i="4"/>
  <c r="K174" i="4"/>
  <c r="M174" i="4"/>
  <c r="H184" i="4"/>
  <c r="F184" i="4"/>
  <c r="C30" i="1"/>
  <c r="H200" i="4"/>
  <c r="F200" i="4"/>
  <c r="I15" i="11"/>
  <c r="R6" i="14" s="1"/>
  <c r="R7" i="14" s="1"/>
  <c r="L259" i="4"/>
  <c r="F215" i="4"/>
  <c r="H215" i="4"/>
  <c r="K225" i="4"/>
  <c r="M225" i="4"/>
  <c r="B25" i="14"/>
  <c r="Q3" i="14"/>
  <c r="I11" i="4"/>
  <c r="H11" i="4" s="1"/>
  <c r="F2" i="4"/>
  <c r="H8" i="4"/>
  <c r="F8" i="4"/>
  <c r="E12" i="1"/>
  <c r="H19" i="4"/>
  <c r="F19" i="4"/>
  <c r="M48" i="4"/>
  <c r="K48" i="4"/>
  <c r="M84" i="4"/>
  <c r="K84" i="4"/>
  <c r="M95" i="4"/>
  <c r="K95" i="4"/>
  <c r="M164" i="4"/>
  <c r="K164" i="4"/>
  <c r="K172" i="4"/>
  <c r="M172" i="4"/>
  <c r="H199" i="4"/>
  <c r="F199" i="4"/>
  <c r="H212" i="4"/>
  <c r="F212" i="4"/>
  <c r="C33" i="1"/>
  <c r="K224" i="4"/>
  <c r="M224" i="4"/>
  <c r="F241" i="4"/>
  <c r="I241" i="4"/>
  <c r="J258" i="4"/>
  <c r="F18" i="4"/>
  <c r="H18" i="4"/>
  <c r="I31" i="4"/>
  <c r="H24" i="4"/>
  <c r="M30" i="4"/>
  <c r="K30" i="4"/>
  <c r="H50" i="4"/>
  <c r="F50" i="4"/>
  <c r="F62" i="4"/>
  <c r="H62" i="4"/>
  <c r="K75" i="4"/>
  <c r="M75" i="4"/>
  <c r="K79" i="4"/>
  <c r="M79" i="4"/>
  <c r="H90" i="4"/>
  <c r="F90" i="4"/>
  <c r="C20" i="1"/>
  <c r="J248" i="4"/>
  <c r="K100" i="4"/>
  <c r="M100" i="4"/>
  <c r="M130" i="4"/>
  <c r="K130" i="4"/>
  <c r="H142" i="4"/>
  <c r="F142" i="4"/>
  <c r="H159" i="4"/>
  <c r="F159" i="4"/>
  <c r="F27" i="1"/>
  <c r="I11" i="11"/>
  <c r="N6" i="14" s="1"/>
  <c r="N7" i="14" s="1"/>
  <c r="J256" i="4"/>
  <c r="C28" i="1"/>
  <c r="F178" i="4"/>
  <c r="H178" i="4"/>
  <c r="C29" i="1"/>
  <c r="H205" i="4"/>
  <c r="F205" i="4"/>
  <c r="E250" i="4"/>
  <c r="C25" i="14"/>
  <c r="K7" i="4"/>
  <c r="H13" i="4"/>
  <c r="F13" i="4"/>
  <c r="M23" i="4"/>
  <c r="M25" i="4"/>
  <c r="K25" i="4"/>
  <c r="F28" i="4"/>
  <c r="H28" i="4"/>
  <c r="M40" i="4"/>
  <c r="K40" i="4"/>
  <c r="H48" i="4"/>
  <c r="M55" i="4"/>
  <c r="M67" i="4"/>
  <c r="M74" i="4"/>
  <c r="M78" i="4"/>
  <c r="H84" i="4"/>
  <c r="F20" i="1"/>
  <c r="I4" i="11"/>
  <c r="G6" i="14" s="1"/>
  <c r="G7" i="14" s="1"/>
  <c r="H93" i="4"/>
  <c r="F93" i="4"/>
  <c r="H94" i="4"/>
  <c r="F95" i="4"/>
  <c r="H99" i="4"/>
  <c r="F99" i="4"/>
  <c r="H5" i="11"/>
  <c r="K5" i="11" s="1"/>
  <c r="E21" i="1"/>
  <c r="G249" i="4"/>
  <c r="H105" i="4"/>
  <c r="F105" i="4"/>
  <c r="H108" i="4"/>
  <c r="E251" i="4"/>
  <c r="B23" i="1"/>
  <c r="H138" i="4"/>
  <c r="F138" i="4"/>
  <c r="H158" i="4"/>
  <c r="H162" i="4"/>
  <c r="F162" i="4"/>
  <c r="H174" i="4"/>
  <c r="F174" i="4"/>
  <c r="M175" i="4"/>
  <c r="M176" i="4"/>
  <c r="F29" i="1"/>
  <c r="M195" i="4"/>
  <c r="K202" i="4"/>
  <c r="M202" i="4"/>
  <c r="M214" i="4"/>
  <c r="K214" i="4"/>
  <c r="L261" i="4"/>
  <c r="E25" i="1"/>
  <c r="H137" i="4"/>
  <c r="F137" i="4"/>
  <c r="H168" i="4"/>
  <c r="F168" i="4"/>
  <c r="H182" i="4"/>
  <c r="F182" i="4"/>
  <c r="K198" i="4"/>
  <c r="M198" i="4"/>
  <c r="K203" i="4"/>
  <c r="M203" i="4"/>
  <c r="H227" i="4"/>
  <c r="F227" i="4"/>
  <c r="C271" i="4"/>
  <c r="E23" i="1"/>
  <c r="N91" i="4"/>
  <c r="H4" i="11"/>
  <c r="B6" i="14" s="1"/>
  <c r="C22" i="1"/>
  <c r="J250" i="4"/>
  <c r="P250" i="4" s="1"/>
  <c r="B25" i="1"/>
  <c r="E253" i="4"/>
  <c r="K147" i="4"/>
  <c r="M147" i="4"/>
  <c r="C26" i="1"/>
  <c r="H155" i="4"/>
  <c r="F155" i="4"/>
  <c r="J255" i="4"/>
  <c r="C27" i="1"/>
  <c r="C275" i="4"/>
  <c r="K209" i="4"/>
  <c r="M209" i="4"/>
  <c r="C278" i="4"/>
  <c r="M241" i="4"/>
  <c r="J247" i="4"/>
  <c r="K263" i="4"/>
  <c r="K279" i="4" s="1"/>
  <c r="J279" i="4"/>
  <c r="B7" i="14"/>
  <c r="C24" i="1"/>
  <c r="N191" i="4"/>
  <c r="N241" i="4"/>
  <c r="N263" i="4" s="1"/>
  <c r="N279" i="4" s="1"/>
  <c r="J3" i="14"/>
  <c r="L279" i="4"/>
  <c r="M263" i="4"/>
  <c r="M279" i="4" s="1"/>
  <c r="C276" i="4"/>
  <c r="C266" i="4"/>
  <c r="C273" i="4"/>
  <c r="B12" i="1"/>
  <c r="F15" i="1"/>
  <c r="I51" i="4"/>
  <c r="C17" i="1"/>
  <c r="J245" i="4"/>
  <c r="E18" i="1"/>
  <c r="I81" i="4"/>
  <c r="H72" i="4"/>
  <c r="I91" i="4"/>
  <c r="K139" i="29" s="1"/>
  <c r="C270" i="4"/>
  <c r="I10" i="11"/>
  <c r="M6" i="14" s="1"/>
  <c r="M7" i="14" s="1"/>
  <c r="L254" i="4"/>
  <c r="F26" i="1"/>
  <c r="I161" i="4"/>
  <c r="K257" i="29" s="1"/>
  <c r="F28" i="1"/>
  <c r="I12" i="11"/>
  <c r="O6" i="14" s="1"/>
  <c r="O7" i="14" s="1"/>
  <c r="L256" i="4"/>
  <c r="B31" i="1"/>
  <c r="E259" i="4"/>
  <c r="N201" i="4"/>
  <c r="N231" i="4"/>
  <c r="K231" i="4" s="1"/>
  <c r="G246" i="4"/>
  <c r="G258" i="4"/>
  <c r="J259" i="4"/>
  <c r="E262" i="4"/>
  <c r="B23" i="14"/>
  <c r="P3" i="14"/>
  <c r="H14" i="11"/>
  <c r="C31" i="14"/>
  <c r="B31" i="14"/>
  <c r="C23" i="14"/>
  <c r="C34" i="1"/>
  <c r="N11" i="4"/>
  <c r="K11" i="4" s="1"/>
  <c r="I21" i="4"/>
  <c r="N21" i="4"/>
  <c r="M21" i="4" s="1"/>
  <c r="E14" i="1"/>
  <c r="I41" i="4"/>
  <c r="H32" i="4"/>
  <c r="N41" i="4"/>
  <c r="M41" i="4" s="1"/>
  <c r="B16" i="1"/>
  <c r="I71" i="4"/>
  <c r="E19" i="1"/>
  <c r="H3" i="11"/>
  <c r="G247" i="4"/>
  <c r="F19" i="1"/>
  <c r="L247" i="4"/>
  <c r="B20" i="1"/>
  <c r="B21" i="1"/>
  <c r="E249" i="4"/>
  <c r="S249" i="4" s="1"/>
  <c r="I101" i="4"/>
  <c r="K155" i="29" s="1"/>
  <c r="N101" i="4"/>
  <c r="E22" i="1"/>
  <c r="I121" i="4"/>
  <c r="H112" i="4"/>
  <c r="N131" i="4"/>
  <c r="I8" i="11"/>
  <c r="K6" i="14" s="1"/>
  <c r="K7" i="14" s="1"/>
  <c r="G253" i="4"/>
  <c r="B27" i="1"/>
  <c r="E255" i="4"/>
  <c r="N161" i="4"/>
  <c r="H13" i="11"/>
  <c r="E29" i="1"/>
  <c r="G257" i="4"/>
  <c r="T257" i="4" s="1"/>
  <c r="I14" i="11"/>
  <c r="Q6" i="14" s="1"/>
  <c r="Q7" i="14" s="1"/>
  <c r="L258" i="4"/>
  <c r="F30" i="1"/>
  <c r="E32" i="1"/>
  <c r="H16" i="11"/>
  <c r="B33" i="1"/>
  <c r="E261" i="4"/>
  <c r="C282" i="4"/>
  <c r="C283" i="4"/>
  <c r="C277" i="4"/>
  <c r="M3" i="14"/>
  <c r="C17" i="14"/>
  <c r="T3" i="14"/>
  <c r="B13" i="1"/>
  <c r="C31" i="1"/>
  <c r="K8" i="4"/>
  <c r="K10" i="4"/>
  <c r="C13" i="1"/>
  <c r="K65" i="4"/>
  <c r="N71" i="4"/>
  <c r="M71" i="4" s="1"/>
  <c r="F75" i="4"/>
  <c r="F79" i="4"/>
  <c r="N81" i="4"/>
  <c r="K81" i="4" s="1"/>
  <c r="K82" i="4"/>
  <c r="K86" i="4"/>
  <c r="C21" i="1"/>
  <c r="J249" i="4"/>
  <c r="K107" i="4"/>
  <c r="I111" i="4"/>
  <c r="F23" i="1"/>
  <c r="I7" i="11"/>
  <c r="J6" i="14" s="1"/>
  <c r="J7" i="14" s="1"/>
  <c r="K128" i="4"/>
  <c r="I131" i="4"/>
  <c r="K204" i="29" s="1"/>
  <c r="I141" i="4"/>
  <c r="K221" i="29" s="1"/>
  <c r="F152" i="4"/>
  <c r="B28" i="1"/>
  <c r="F172" i="4"/>
  <c r="I181" i="4"/>
  <c r="I191" i="4"/>
  <c r="H15" i="11"/>
  <c r="F203" i="4"/>
  <c r="F209" i="4"/>
  <c r="I211" i="4"/>
  <c r="K342" i="29" s="1"/>
  <c r="H17" i="11"/>
  <c r="G261" i="4"/>
  <c r="E33" i="1"/>
  <c r="E34" i="1"/>
  <c r="H18" i="11"/>
  <c r="G262" i="4"/>
  <c r="E246" i="4"/>
  <c r="J251" i="4"/>
  <c r="L252" i="4"/>
  <c r="E254" i="4"/>
  <c r="G259" i="4"/>
  <c r="C274" i="4"/>
  <c r="B19" i="14"/>
  <c r="N3" i="14"/>
  <c r="C15" i="1"/>
  <c r="E24" i="1"/>
  <c r="B26" i="1"/>
  <c r="E31" i="1"/>
  <c r="K2" i="4"/>
  <c r="K5" i="4"/>
  <c r="H7" i="4"/>
  <c r="M12" i="4"/>
  <c r="F15" i="4"/>
  <c r="N31" i="4"/>
  <c r="N51" i="4"/>
  <c r="H45" i="4"/>
  <c r="K47" i="4"/>
  <c r="F57" i="4"/>
  <c r="M58" i="4"/>
  <c r="N61" i="4"/>
  <c r="K61" i="4" s="1"/>
  <c r="K66" i="4"/>
  <c r="F72" i="4"/>
  <c r="F76" i="4"/>
  <c r="M77" i="4"/>
  <c r="F80" i="4"/>
  <c r="M82" i="4"/>
  <c r="K83" i="4"/>
  <c r="H85" i="4"/>
  <c r="L248" i="4"/>
  <c r="I5" i="11"/>
  <c r="H6" i="14" s="1"/>
  <c r="H7" i="14" s="1"/>
  <c r="L249" i="4"/>
  <c r="K108" i="4"/>
  <c r="N111" i="4"/>
  <c r="M115" i="4"/>
  <c r="N121" i="4"/>
  <c r="K122" i="4"/>
  <c r="K125" i="4"/>
  <c r="H127" i="4"/>
  <c r="B24" i="1"/>
  <c r="M140" i="4"/>
  <c r="N141" i="4"/>
  <c r="N221" i="29" s="1"/>
  <c r="M145" i="4"/>
  <c r="E26" i="1"/>
  <c r="H10" i="11"/>
  <c r="G254" i="4"/>
  <c r="F153" i="4"/>
  <c r="M154" i="4"/>
  <c r="F157" i="4"/>
  <c r="M158" i="4"/>
  <c r="H11" i="11"/>
  <c r="G255" i="4"/>
  <c r="M167" i="4"/>
  <c r="F170" i="4"/>
  <c r="M180" i="4"/>
  <c r="B29" i="1"/>
  <c r="N181" i="4"/>
  <c r="N289" i="29" s="1"/>
  <c r="B30" i="1"/>
  <c r="F195" i="4"/>
  <c r="I201" i="4"/>
  <c r="K324" i="29" s="1"/>
  <c r="B32" i="1"/>
  <c r="E260" i="4"/>
  <c r="J260" i="4"/>
  <c r="N211" i="4"/>
  <c r="N342" i="29" s="1"/>
  <c r="M219" i="4"/>
  <c r="I17" i="11"/>
  <c r="T6" i="14" s="1"/>
  <c r="T7" i="14" s="1"/>
  <c r="I231" i="4"/>
  <c r="H241" i="4"/>
  <c r="E245" i="4"/>
  <c r="G250" i="4"/>
  <c r="G252" i="4"/>
  <c r="J253" i="4"/>
  <c r="E256" i="4"/>
  <c r="E258" i="4"/>
  <c r="E263" i="4"/>
  <c r="I3" i="11"/>
  <c r="H6" i="11"/>
  <c r="K3" i="14"/>
  <c r="C13" i="14"/>
  <c r="B13" i="14"/>
  <c r="H9" i="11"/>
  <c r="F17" i="1"/>
  <c r="F24" i="1"/>
  <c r="E28" i="1"/>
  <c r="C32" i="1"/>
  <c r="F22" i="1"/>
  <c r="I6" i="11"/>
  <c r="I6" i="14" s="1"/>
  <c r="I7" i="14" s="1"/>
  <c r="L250" i="4"/>
  <c r="F25" i="1"/>
  <c r="I9" i="11"/>
  <c r="L6" i="14" s="1"/>
  <c r="L7" i="14" s="1"/>
  <c r="N151" i="4"/>
  <c r="N171" i="4"/>
  <c r="F31" i="1"/>
  <c r="N221" i="4"/>
  <c r="N360" i="29" s="1"/>
  <c r="L255" i="4"/>
  <c r="L257" i="4"/>
  <c r="J261" i="4"/>
  <c r="I13" i="11"/>
  <c r="P6" i="14" s="1"/>
  <c r="P7" i="14" s="1"/>
  <c r="B27" i="14"/>
  <c r="R3" i="14"/>
  <c r="F34" i="1"/>
  <c r="B5" i="14"/>
  <c r="G3" i="14"/>
  <c r="O3" i="14"/>
  <c r="C21" i="14"/>
  <c r="B21" i="14"/>
  <c r="C29" i="14"/>
  <c r="N170" i="29" l="1"/>
  <c r="K360" i="29"/>
  <c r="K289" i="29"/>
  <c r="K187" i="29"/>
  <c r="K170" i="29"/>
  <c r="J257" i="29"/>
  <c r="K306" i="29"/>
  <c r="S251" i="4"/>
  <c r="T247" i="4"/>
  <c r="Q259" i="4"/>
  <c r="T255" i="4"/>
  <c r="Q250" i="4"/>
  <c r="T261" i="4"/>
  <c r="Q252" i="4"/>
  <c r="P248" i="4"/>
  <c r="T251" i="4"/>
  <c r="S245" i="4"/>
  <c r="Q254" i="4"/>
  <c r="P252" i="4"/>
  <c r="S247" i="4"/>
  <c r="P259" i="4"/>
  <c r="S255" i="4"/>
  <c r="W251" i="4"/>
  <c r="Q251" i="4"/>
  <c r="P251" i="4"/>
  <c r="V251" i="4"/>
  <c r="V249" i="4"/>
  <c r="P249" i="4"/>
  <c r="P256" i="4"/>
  <c r="T245" i="4"/>
  <c r="P246" i="4"/>
  <c r="S257" i="4"/>
  <c r="P254" i="4"/>
  <c r="Q245" i="4"/>
  <c r="W245" i="4"/>
  <c r="Q246" i="4"/>
  <c r="P247" i="4"/>
  <c r="V247" i="4"/>
  <c r="Q257" i="4"/>
  <c r="W257" i="4"/>
  <c r="V253" i="4"/>
  <c r="P253" i="4"/>
  <c r="Q249" i="4"/>
  <c r="W249" i="4"/>
  <c r="S253" i="4"/>
  <c r="V257" i="4"/>
  <c r="P257" i="4"/>
  <c r="W255" i="4"/>
  <c r="Q255" i="4"/>
  <c r="W247" i="4"/>
  <c r="Q247" i="4"/>
  <c r="S259" i="4"/>
  <c r="Q248" i="4"/>
  <c r="Q258" i="4"/>
  <c r="T253" i="4"/>
  <c r="Q256" i="4"/>
  <c r="V245" i="4"/>
  <c r="P245" i="4"/>
  <c r="P255" i="4"/>
  <c r="V255" i="4"/>
  <c r="T249" i="4"/>
  <c r="P258" i="4"/>
  <c r="I12" i="1"/>
  <c r="T259" i="4"/>
  <c r="Q253" i="4"/>
  <c r="W253" i="4"/>
  <c r="Q261" i="4"/>
  <c r="H221" i="4"/>
  <c r="P261" i="4"/>
  <c r="S261" i="4"/>
  <c r="Q262" i="4"/>
  <c r="W261" i="4"/>
  <c r="V261" i="4"/>
  <c r="P262" i="4"/>
  <c r="P260" i="4"/>
  <c r="V259" i="4"/>
  <c r="W259" i="4"/>
  <c r="Q260" i="4"/>
  <c r="K8" i="11"/>
  <c r="K131" i="4"/>
  <c r="N204" i="29"/>
  <c r="M101" i="4"/>
  <c r="N155" i="29"/>
  <c r="K91" i="4"/>
  <c r="N139" i="29"/>
  <c r="K171" i="4"/>
  <c r="N273" i="29"/>
  <c r="N258" i="4"/>
  <c r="M258" i="4" s="1"/>
  <c r="N306" i="29"/>
  <c r="F171" i="4"/>
  <c r="K273" i="29"/>
  <c r="K151" i="4"/>
  <c r="N239" i="29"/>
  <c r="K121" i="4"/>
  <c r="N187" i="29"/>
  <c r="M161" i="4"/>
  <c r="N257" i="29"/>
  <c r="K201" i="4"/>
  <c r="N324" i="29"/>
  <c r="I33" i="1"/>
  <c r="C14" i="14"/>
  <c r="H14" i="1"/>
  <c r="J14" i="1" s="1"/>
  <c r="H16" i="1"/>
  <c r="J16" i="1" s="1"/>
  <c r="J273" i="4"/>
  <c r="K4" i="14"/>
  <c r="I248" i="4"/>
  <c r="G272" i="4"/>
  <c r="H13" i="1"/>
  <c r="J13" i="1" s="1"/>
  <c r="J4" i="14"/>
  <c r="I16" i="1"/>
  <c r="H18" i="1"/>
  <c r="J18" i="1" s="1"/>
  <c r="H15" i="1"/>
  <c r="J15" i="1" s="1"/>
  <c r="H17" i="1"/>
  <c r="J17" i="1" s="1"/>
  <c r="I14" i="1"/>
  <c r="F111" i="4"/>
  <c r="O111" i="4"/>
  <c r="F31" i="4"/>
  <c r="O31" i="4"/>
  <c r="I263" i="4"/>
  <c r="O241" i="4"/>
  <c r="F61" i="4"/>
  <c r="O61" i="4"/>
  <c r="O211" i="4"/>
  <c r="F51" i="4"/>
  <c r="O51" i="4"/>
  <c r="F11" i="4"/>
  <c r="O11" i="4"/>
  <c r="I261" i="4"/>
  <c r="O221" i="4"/>
  <c r="H171" i="4"/>
  <c r="O171" i="4"/>
  <c r="H131" i="4"/>
  <c r="O131" i="4"/>
  <c r="I262" i="4"/>
  <c r="O231" i="4"/>
  <c r="I259" i="4"/>
  <c r="O201" i="4"/>
  <c r="I258" i="4"/>
  <c r="O191" i="4"/>
  <c r="H20" i="1"/>
  <c r="J20" i="1" s="1"/>
  <c r="F81" i="4"/>
  <c r="O81" i="4"/>
  <c r="I22" i="1"/>
  <c r="F181" i="4"/>
  <c r="O181" i="4"/>
  <c r="H101" i="4"/>
  <c r="O101" i="4"/>
  <c r="H21" i="4"/>
  <c r="O21" i="4"/>
  <c r="J278" i="4"/>
  <c r="I32" i="1"/>
  <c r="E273" i="4"/>
  <c r="F191" i="4"/>
  <c r="F141" i="4"/>
  <c r="O141" i="4"/>
  <c r="I13" i="1"/>
  <c r="L275" i="4"/>
  <c r="F121" i="4"/>
  <c r="O121" i="4"/>
  <c r="I19" i="1"/>
  <c r="F71" i="4"/>
  <c r="O71" i="4"/>
  <c r="F41" i="4"/>
  <c r="O41" i="4"/>
  <c r="F161" i="4"/>
  <c r="O161" i="4"/>
  <c r="F91" i="4"/>
  <c r="O91" i="4"/>
  <c r="I251" i="4"/>
  <c r="F210" i="4"/>
  <c r="O210" i="4"/>
  <c r="H151" i="4"/>
  <c r="O151" i="4"/>
  <c r="H34" i="1"/>
  <c r="J34" i="1" s="1"/>
  <c r="C12" i="14"/>
  <c r="K7" i="11"/>
  <c r="J271" i="4"/>
  <c r="I18" i="1"/>
  <c r="M210" i="4"/>
  <c r="F221" i="4"/>
  <c r="J274" i="4"/>
  <c r="I23" i="1"/>
  <c r="I21" i="1"/>
  <c r="I30" i="1"/>
  <c r="H27" i="1"/>
  <c r="J27" i="1" s="1"/>
  <c r="N246" i="4"/>
  <c r="G266" i="4"/>
  <c r="H91" i="4"/>
  <c r="B22" i="14"/>
  <c r="H201" i="4"/>
  <c r="F151" i="4"/>
  <c r="C22" i="14"/>
  <c r="O4" i="14"/>
  <c r="G4" i="14"/>
  <c r="I24" i="1"/>
  <c r="L276" i="4"/>
  <c r="H231" i="4"/>
  <c r="F231" i="4"/>
  <c r="H25" i="1"/>
  <c r="J25" i="1" s="1"/>
  <c r="H4" i="14"/>
  <c r="C8" i="14"/>
  <c r="H26" i="1"/>
  <c r="J26" i="1" s="1"/>
  <c r="I20" i="1"/>
  <c r="B8" i="14"/>
  <c r="I249" i="4"/>
  <c r="I26" i="1"/>
  <c r="K191" i="4"/>
  <c r="H61" i="4"/>
  <c r="I29" i="1"/>
  <c r="K21" i="4"/>
  <c r="I25" i="1"/>
  <c r="H21" i="1"/>
  <c r="J21" i="1" s="1"/>
  <c r="H22" i="1"/>
  <c r="J22" i="1" s="1"/>
  <c r="H28" i="1"/>
  <c r="J28" i="1" s="1"/>
  <c r="M91" i="4"/>
  <c r="K258" i="4"/>
  <c r="K161" i="4"/>
  <c r="K4" i="11"/>
  <c r="H19" i="1"/>
  <c r="J19" i="1" s="1"/>
  <c r="H23" i="1"/>
  <c r="J23" i="1" s="1"/>
  <c r="L282" i="4"/>
  <c r="L277" i="4"/>
  <c r="K71" i="4"/>
  <c r="M121" i="4"/>
  <c r="M171" i="4"/>
  <c r="M151" i="4"/>
  <c r="H31" i="4"/>
  <c r="F21" i="4"/>
  <c r="J272" i="4"/>
  <c r="H161" i="4"/>
  <c r="H121" i="4"/>
  <c r="M191" i="4"/>
  <c r="H33" i="1"/>
  <c r="J33" i="1" s="1"/>
  <c r="H141" i="4"/>
  <c r="H41" i="4"/>
  <c r="E36" i="1"/>
  <c r="H51" i="4"/>
  <c r="E35" i="1"/>
  <c r="L283" i="4"/>
  <c r="L266" i="4"/>
  <c r="H31" i="1"/>
  <c r="J31" i="1" s="1"/>
  <c r="I28" i="1"/>
  <c r="H12" i="1"/>
  <c r="J12" i="1" s="1"/>
  <c r="I27" i="1"/>
  <c r="L278" i="4"/>
  <c r="L271" i="4"/>
  <c r="N255" i="4"/>
  <c r="E279" i="4"/>
  <c r="F263" i="4"/>
  <c r="F279" i="4" s="1"/>
  <c r="J270" i="4"/>
  <c r="B35" i="1"/>
  <c r="H30" i="1"/>
  <c r="G270" i="4"/>
  <c r="I254" i="4"/>
  <c r="M141" i="4"/>
  <c r="K141" i="4"/>
  <c r="N252" i="4"/>
  <c r="B34" i="14"/>
  <c r="C34" i="14"/>
  <c r="U4" i="14"/>
  <c r="K18" i="11"/>
  <c r="B32" i="14"/>
  <c r="C32" i="14"/>
  <c r="T4" i="14"/>
  <c r="K17" i="11"/>
  <c r="I31" i="1"/>
  <c r="C35" i="1"/>
  <c r="F35" i="1"/>
  <c r="H181" i="4"/>
  <c r="N247" i="4"/>
  <c r="B26" i="14"/>
  <c r="Q4" i="14"/>
  <c r="K14" i="11"/>
  <c r="C26" i="14"/>
  <c r="N262" i="4"/>
  <c r="M231" i="4"/>
  <c r="N256" i="4"/>
  <c r="L272" i="4"/>
  <c r="N245" i="4"/>
  <c r="N261" i="4"/>
  <c r="K221" i="4"/>
  <c r="M221" i="4"/>
  <c r="I252" i="4"/>
  <c r="J276" i="4"/>
  <c r="J266" i="4"/>
  <c r="M181" i="4"/>
  <c r="K181" i="4"/>
  <c r="B18" i="14"/>
  <c r="C18" i="14"/>
  <c r="M4" i="14"/>
  <c r="K10" i="11"/>
  <c r="F131" i="4"/>
  <c r="K51" i="4"/>
  <c r="M51" i="4"/>
  <c r="G275" i="4"/>
  <c r="I260" i="4"/>
  <c r="F211" i="4"/>
  <c r="B28" i="14"/>
  <c r="R4" i="14"/>
  <c r="K15" i="11"/>
  <c r="C28" i="14"/>
  <c r="H81" i="4"/>
  <c r="L274" i="4"/>
  <c r="L267" i="4"/>
  <c r="I257" i="4"/>
  <c r="G273" i="4"/>
  <c r="I34" i="1"/>
  <c r="G276" i="4"/>
  <c r="H71" i="4"/>
  <c r="I17" i="1"/>
  <c r="K41" i="4"/>
  <c r="J283" i="4"/>
  <c r="J277" i="4"/>
  <c r="J282" i="4"/>
  <c r="F36" i="1"/>
  <c r="B16" i="14"/>
  <c r="C16" i="14"/>
  <c r="L4" i="14"/>
  <c r="K9" i="11"/>
  <c r="B10" i="14"/>
  <c r="K6" i="11"/>
  <c r="C10" i="14"/>
  <c r="I4" i="14"/>
  <c r="E274" i="4"/>
  <c r="E267" i="4"/>
  <c r="I250" i="4"/>
  <c r="E266" i="4"/>
  <c r="E276" i="4"/>
  <c r="I255" i="4"/>
  <c r="G271" i="4"/>
  <c r="C36" i="1"/>
  <c r="M111" i="4"/>
  <c r="K111" i="4"/>
  <c r="N249" i="4"/>
  <c r="M31" i="4"/>
  <c r="K31" i="4"/>
  <c r="F101" i="4"/>
  <c r="N253" i="4"/>
  <c r="H211" i="4"/>
  <c r="F201" i="4"/>
  <c r="E271" i="4"/>
  <c r="I253" i="4"/>
  <c r="H111" i="4"/>
  <c r="I247" i="4"/>
  <c r="J275" i="4"/>
  <c r="M201" i="4"/>
  <c r="N259" i="4"/>
  <c r="N254" i="4"/>
  <c r="L270" i="4"/>
  <c r="I245" i="4"/>
  <c r="L273" i="4"/>
  <c r="N257" i="4"/>
  <c r="N250" i="4"/>
  <c r="E272" i="4"/>
  <c r="I256" i="4"/>
  <c r="N260" i="4"/>
  <c r="M211" i="4"/>
  <c r="K211" i="4"/>
  <c r="H32" i="1"/>
  <c r="J32" i="1" s="1"/>
  <c r="H29" i="1"/>
  <c r="J29" i="1" s="1"/>
  <c r="B20" i="14"/>
  <c r="N4" i="14"/>
  <c r="K11" i="11"/>
  <c r="C20" i="14"/>
  <c r="B36" i="1"/>
  <c r="H24" i="1"/>
  <c r="J24" i="1" s="1"/>
  <c r="N248" i="4"/>
  <c r="M11" i="4"/>
  <c r="I15" i="1"/>
  <c r="J267" i="4"/>
  <c r="E270" i="4"/>
  <c r="G278" i="4"/>
  <c r="G282" i="4"/>
  <c r="G283" i="4"/>
  <c r="G277" i="4"/>
  <c r="M131" i="4"/>
  <c r="K101" i="4"/>
  <c r="M61" i="4"/>
  <c r="E283" i="4"/>
  <c r="E282" i="4"/>
  <c r="E277" i="4"/>
  <c r="B30" i="14"/>
  <c r="S4" i="14"/>
  <c r="K16" i="11"/>
  <c r="C30" i="14"/>
  <c r="H191" i="4"/>
  <c r="B24" i="14"/>
  <c r="C24" i="14"/>
  <c r="K13" i="11"/>
  <c r="P4" i="14"/>
  <c r="M81" i="4"/>
  <c r="B4" i="14"/>
  <c r="F4" i="14" s="1"/>
  <c r="K3" i="11"/>
  <c r="E278" i="4"/>
  <c r="G267" i="4"/>
  <c r="G274" i="4"/>
  <c r="N251" i="4"/>
  <c r="I246" i="4"/>
  <c r="E275" i="4"/>
  <c r="R254" i="4" l="1"/>
  <c r="BN36" i="5"/>
  <c r="BN37" i="5" s="1"/>
  <c r="M279" i="28"/>
  <c r="U257" i="4"/>
  <c r="BP36" i="5"/>
  <c r="BP37" i="5" s="1"/>
  <c r="M281" i="28"/>
  <c r="BF36" i="5"/>
  <c r="BF37" i="5" s="1"/>
  <c r="M271" i="28"/>
  <c r="I279" i="4"/>
  <c r="BV36" i="5"/>
  <c r="BV37" i="5" s="1"/>
  <c r="M287" i="28"/>
  <c r="BH36" i="5"/>
  <c r="BH37" i="5" s="1"/>
  <c r="M273" i="28"/>
  <c r="BJ36" i="5"/>
  <c r="BJ37" i="5" s="1"/>
  <c r="M275" i="28"/>
  <c r="BS36" i="5"/>
  <c r="BS37" i="5" s="1"/>
  <c r="M284" i="28"/>
  <c r="F259" i="4"/>
  <c r="BR36" i="5"/>
  <c r="BR37" i="5" s="1"/>
  <c r="M283" i="28"/>
  <c r="H261" i="4"/>
  <c r="BT36" i="5"/>
  <c r="BT37" i="5" s="1"/>
  <c r="M285" i="28"/>
  <c r="F256" i="4"/>
  <c r="BO36" i="5"/>
  <c r="BO37" i="5" s="1"/>
  <c r="M280" i="28"/>
  <c r="F252" i="4"/>
  <c r="BK36" i="5"/>
  <c r="BK37" i="5" s="1"/>
  <c r="M276" i="28"/>
  <c r="H246" i="4"/>
  <c r="BE36" i="5"/>
  <c r="BE37" i="5" s="1"/>
  <c r="M270" i="28"/>
  <c r="BD36" i="5"/>
  <c r="BD37" i="5" s="1"/>
  <c r="M269" i="28"/>
  <c r="BL36" i="5"/>
  <c r="BL37" i="5" s="1"/>
  <c r="M277" i="28"/>
  <c r="F250" i="4"/>
  <c r="BI36" i="5"/>
  <c r="BI37" i="5" s="1"/>
  <c r="M274" i="28"/>
  <c r="H254" i="4"/>
  <c r="BM36" i="5"/>
  <c r="BM37" i="5" s="1"/>
  <c r="M278" i="28"/>
  <c r="BQ36" i="5"/>
  <c r="BQ37" i="5" s="1"/>
  <c r="M282" i="28"/>
  <c r="BU36" i="5"/>
  <c r="BU37" i="5" s="1"/>
  <c r="M286" i="28"/>
  <c r="H248" i="4"/>
  <c r="BG36" i="5"/>
  <c r="BG37" i="5" s="1"/>
  <c r="M272" i="28"/>
  <c r="H259" i="4"/>
  <c r="M255" i="4"/>
  <c r="X255" i="4"/>
  <c r="R255" i="4"/>
  <c r="K247" i="4"/>
  <c r="X247" i="4"/>
  <c r="R247" i="4"/>
  <c r="K248" i="4"/>
  <c r="R248" i="4"/>
  <c r="K259" i="4"/>
  <c r="K275" i="4" s="1"/>
  <c r="R259" i="4"/>
  <c r="M256" i="4"/>
  <c r="R256" i="4"/>
  <c r="K252" i="4"/>
  <c r="R252" i="4"/>
  <c r="H249" i="4"/>
  <c r="U249" i="4"/>
  <c r="F251" i="4"/>
  <c r="U251" i="4"/>
  <c r="M251" i="4"/>
  <c r="X251" i="4"/>
  <c r="R251" i="4"/>
  <c r="K250" i="4"/>
  <c r="R250" i="4"/>
  <c r="H255" i="4"/>
  <c r="U255" i="4"/>
  <c r="M245" i="4"/>
  <c r="X245" i="4"/>
  <c r="R245" i="4"/>
  <c r="R257" i="4"/>
  <c r="X257" i="4"/>
  <c r="F247" i="4"/>
  <c r="U247" i="4"/>
  <c r="M246" i="4"/>
  <c r="R246" i="4"/>
  <c r="H245" i="4"/>
  <c r="U245" i="4"/>
  <c r="F253" i="4"/>
  <c r="U253" i="4"/>
  <c r="M253" i="4"/>
  <c r="R253" i="4"/>
  <c r="X253" i="4"/>
  <c r="K249" i="4"/>
  <c r="R249" i="4"/>
  <c r="X249" i="4"/>
  <c r="R258" i="4"/>
  <c r="K261" i="4"/>
  <c r="R261" i="4"/>
  <c r="R262" i="4"/>
  <c r="X261" i="4"/>
  <c r="F262" i="4"/>
  <c r="U261" i="4"/>
  <c r="K260" i="4"/>
  <c r="X259" i="4"/>
  <c r="R260" i="4"/>
  <c r="F260" i="4"/>
  <c r="U259" i="4"/>
  <c r="F248" i="4"/>
  <c r="I275" i="4"/>
  <c r="H258" i="4"/>
  <c r="I278" i="4"/>
  <c r="F261" i="4"/>
  <c r="H262" i="4"/>
  <c r="F258" i="4"/>
  <c r="I274" i="4"/>
  <c r="H251" i="4"/>
  <c r="K246" i="4"/>
  <c r="F254" i="4"/>
  <c r="F249" i="4"/>
  <c r="M250" i="4"/>
  <c r="I36" i="1"/>
  <c r="F255" i="4"/>
  <c r="M249" i="4"/>
  <c r="I35" i="1"/>
  <c r="H247" i="4"/>
  <c r="H253" i="4"/>
  <c r="K251" i="4"/>
  <c r="F246" i="4"/>
  <c r="F245" i="4"/>
  <c r="I271" i="4"/>
  <c r="M252" i="4"/>
  <c r="N273" i="4"/>
  <c r="N274" i="4"/>
  <c r="K257" i="4"/>
  <c r="N270" i="4"/>
  <c r="K254" i="4"/>
  <c r="I273" i="4"/>
  <c r="F257" i="4"/>
  <c r="I283" i="4"/>
  <c r="N278" i="4"/>
  <c r="K262" i="4"/>
  <c r="M262" i="4"/>
  <c r="M254" i="4"/>
  <c r="H36" i="1"/>
  <c r="I266" i="4"/>
  <c r="I276" i="4"/>
  <c r="I282" i="4"/>
  <c r="H260" i="4"/>
  <c r="I277" i="4"/>
  <c r="I272" i="4"/>
  <c r="H256" i="4"/>
  <c r="N275" i="4"/>
  <c r="N267" i="4"/>
  <c r="M259" i="4"/>
  <c r="M275" i="4" s="1"/>
  <c r="K245" i="4"/>
  <c r="N272" i="4"/>
  <c r="K256" i="4"/>
  <c r="M247" i="4"/>
  <c r="J30" i="1"/>
  <c r="H35" i="1"/>
  <c r="K253" i="4"/>
  <c r="I267" i="4"/>
  <c r="M248" i="4"/>
  <c r="N276" i="4"/>
  <c r="N266" i="4"/>
  <c r="M260" i="4"/>
  <c r="M257" i="4"/>
  <c r="H250" i="4"/>
  <c r="H257" i="4"/>
  <c r="H252" i="4"/>
  <c r="N283" i="4"/>
  <c r="N277" i="4"/>
  <c r="N282" i="4"/>
  <c r="M261" i="4"/>
  <c r="I270" i="4"/>
  <c r="N271" i="4"/>
  <c r="K255" i="4"/>
  <c r="F275" i="4" l="1"/>
  <c r="F276" i="4"/>
  <c r="H276" i="4"/>
  <c r="H278" i="4"/>
  <c r="F270" i="4"/>
  <c r="M272" i="4"/>
  <c r="F273" i="4"/>
  <c r="H270" i="4"/>
  <c r="H271" i="4"/>
  <c r="H275" i="4"/>
  <c r="K276" i="4"/>
  <c r="H272" i="4"/>
  <c r="M270" i="4"/>
  <c r="H282" i="4"/>
  <c r="M273" i="4"/>
  <c r="K282" i="4"/>
  <c r="K277" i="4"/>
  <c r="K278" i="4"/>
  <c r="F278" i="4"/>
  <c r="H273" i="4"/>
  <c r="F277" i="4"/>
  <c r="F282" i="4"/>
  <c r="M276" i="4"/>
  <c r="F271" i="4"/>
  <c r="K270" i="4"/>
  <c r="M278" i="4"/>
  <c r="F272" i="4"/>
  <c r="K272" i="4"/>
  <c r="M274" i="4"/>
  <c r="F283" i="4"/>
  <c r="H277" i="4"/>
  <c r="F274" i="4"/>
  <c r="H274" i="4"/>
  <c r="K273" i="4"/>
  <c r="K274" i="4"/>
  <c r="K271" i="4"/>
  <c r="M283" i="4"/>
  <c r="M277" i="4"/>
  <c r="M282" i="4"/>
  <c r="H283" i="4"/>
  <c r="K283" i="4"/>
  <c r="M271" i="4"/>
</calcChain>
</file>

<file path=xl/comments1.xml><?xml version="1.0" encoding="utf-8"?>
<comments xmlns="http://schemas.openxmlformats.org/spreadsheetml/2006/main">
  <authors>
    <author>jtenny</author>
    <author>kmbrown</author>
  </authors>
  <commentList>
    <comment ref="H26" authorId="0" shapeId="0">
      <text>
        <r>
          <rPr>
            <b/>
            <sz val="9"/>
            <color indexed="81"/>
            <rFont val="Tahoma"/>
            <family val="2"/>
          </rPr>
          <t>jtenny:</t>
        </r>
        <r>
          <rPr>
            <sz val="9"/>
            <color indexed="81"/>
            <rFont val="Tahoma"/>
            <family val="2"/>
          </rPr>
          <t xml:space="preserve">
avg orig # was incorrect</t>
        </r>
      </text>
    </comment>
    <comment ref="I149" authorId="1" shapeId="0">
      <text>
        <r>
          <rPr>
            <b/>
            <sz val="9"/>
            <color indexed="81"/>
            <rFont val="Tahoma"/>
            <family val="2"/>
          </rPr>
          <t>kmbrown:</t>
        </r>
        <r>
          <rPr>
            <sz val="9"/>
            <color indexed="81"/>
            <rFont val="Tahoma"/>
            <family val="2"/>
          </rPr>
          <t xml:space="preserve">
Coos had sales that were not sold due to T&amp;E and a couple of no-bidders</t>
        </r>
      </text>
    </comment>
  </commentList>
</comments>
</file>

<file path=xl/comments2.xml><?xml version="1.0" encoding="utf-8"?>
<comments xmlns="http://schemas.openxmlformats.org/spreadsheetml/2006/main">
  <authors>
    <author>jtenny</author>
    <author>kmbrown</author>
    <author>Kelly Brown</author>
  </authors>
  <commentList>
    <comment ref="C2" authorId="0" shapeId="0">
      <text>
        <r>
          <rPr>
            <b/>
            <sz val="9"/>
            <color indexed="81"/>
            <rFont val="Tahoma"/>
            <family val="2"/>
          </rPr>
          <t>jtenny:</t>
        </r>
        <r>
          <rPr>
            <sz val="9"/>
            <color indexed="81"/>
            <rFont val="Tahoma"/>
            <family val="2"/>
          </rPr>
          <t xml:space="preserve">
IN THE PAST SOME LANDS IN COUNTIES IN EASTERN OREGON WERE COMMON SCHOOL LANDS ORIGINALLY MANAGED BY ODF BUT ARE NOW PART OF DEPT OF STATE LANDS.</t>
        </r>
      </text>
    </comment>
    <comment ref="G2" authorId="1" shapeId="0">
      <text>
        <r>
          <rPr>
            <b/>
            <sz val="8"/>
            <color indexed="81"/>
            <rFont val="Tahoma"/>
            <family val="2"/>
          </rPr>
          <t>kmbrown:</t>
        </r>
        <r>
          <rPr>
            <sz val="8"/>
            <color indexed="81"/>
            <rFont val="Tahoma"/>
            <family val="2"/>
          </rPr>
          <t xml:space="preserve">
FROM 1949 - 1994 I USED THE TYPWRITTEN INDIVIDUAL ANNUAL VOL REPORTS IN THE HISTORY FILE</t>
        </r>
      </text>
    </comment>
    <comment ref="AD2" authorId="1" shapeId="0">
      <text>
        <r>
          <rPr>
            <b/>
            <sz val="8"/>
            <color indexed="81"/>
            <rFont val="Tahoma"/>
            <family val="2"/>
          </rPr>
          <t>kmbrown:</t>
        </r>
        <r>
          <rPr>
            <sz val="8"/>
            <color indexed="81"/>
            <rFont val="Tahoma"/>
            <family val="2"/>
          </rPr>
          <t xml:space="preserve">
1972 VOLUME DERIVED FROM "OREGON TIMBER HARVESTS 184THE 9 - 2002" REPORT COMPILED BY RESOURCE PLANNING DEPT IN ODF IN 2005</t>
        </r>
      </text>
    </comment>
    <comment ref="AZ2" authorId="1" shapeId="0">
      <text>
        <r>
          <rPr>
            <b/>
            <sz val="8"/>
            <color indexed="81"/>
            <rFont val="Tahoma"/>
            <family val="2"/>
          </rPr>
          <t>kmbrown:</t>
        </r>
        <r>
          <rPr>
            <sz val="8"/>
            <color indexed="81"/>
            <rFont val="Tahoma"/>
            <family val="2"/>
          </rPr>
          <t xml:space="preserve">
FROM 1994 THROUGH 2002 I USED THE "VOLUME AND VALUE BY COUNTY" REPORT
</t>
        </r>
      </text>
    </comment>
    <comment ref="BI2" authorId="1" shapeId="0">
      <text>
        <r>
          <rPr>
            <b/>
            <sz val="8"/>
            <color indexed="81"/>
            <rFont val="Tahoma"/>
            <family val="2"/>
          </rPr>
          <t>kmbrown:</t>
        </r>
        <r>
          <rPr>
            <sz val="8"/>
            <color indexed="81"/>
            <rFont val="Tahoma"/>
            <family val="2"/>
          </rPr>
          <t xml:space="preserve">
BEGINNING HERE DATA IS BY THE FY AND VOL WAS FROM THE TRAS VOL AND VALUE REPORTS</t>
        </r>
      </text>
    </comment>
    <comment ref="BW2" authorId="2" shapeId="0">
      <text>
        <r>
          <rPr>
            <b/>
            <sz val="9"/>
            <color indexed="81"/>
            <rFont val="Tahoma"/>
            <family val="2"/>
          </rPr>
          <t>Kelly Brown:</t>
        </r>
        <r>
          <rPr>
            <sz val="9"/>
            <color indexed="81"/>
            <rFont val="Tahoma"/>
            <family val="2"/>
          </rPr>
          <t xml:space="preserve">
when entering a new year, insert column to the left of THIS column
</t>
        </r>
      </text>
    </comment>
    <comment ref="G39" authorId="1" shapeId="0">
      <text>
        <r>
          <rPr>
            <b/>
            <sz val="8"/>
            <color indexed="81"/>
            <rFont val="Tahoma"/>
            <family val="2"/>
          </rPr>
          <t>kmbrown:</t>
        </r>
        <r>
          <rPr>
            <sz val="8"/>
            <color indexed="81"/>
            <rFont val="Tahoma"/>
            <family val="2"/>
          </rPr>
          <t xml:space="preserve">
FROM 1949 - 1994 I USED THE TYPWRITTEN INDIVIDUAL ANNUAL VOL REPORTS IN THE HISTORY FILE</t>
        </r>
      </text>
    </comment>
    <comment ref="AD39" authorId="1" shapeId="0">
      <text>
        <r>
          <rPr>
            <b/>
            <sz val="8"/>
            <color indexed="81"/>
            <rFont val="Tahoma"/>
            <family val="2"/>
          </rPr>
          <t>kmbrown:</t>
        </r>
        <r>
          <rPr>
            <sz val="8"/>
            <color indexed="81"/>
            <rFont val="Tahoma"/>
            <family val="2"/>
          </rPr>
          <t xml:space="preserve">
1972 VOLUME DERIVED FROM "OREGON TIMBER HARVESTS 184THE 9 - 2002" REPORT COMPILED BY RESOURCE PLANNING DEPT IN ODF IN 2005</t>
        </r>
      </text>
    </comment>
    <comment ref="AZ39" authorId="1" shapeId="0">
      <text>
        <r>
          <rPr>
            <b/>
            <sz val="8"/>
            <color indexed="81"/>
            <rFont val="Tahoma"/>
            <family val="2"/>
          </rPr>
          <t>kmbrown:</t>
        </r>
        <r>
          <rPr>
            <sz val="8"/>
            <color indexed="81"/>
            <rFont val="Tahoma"/>
            <family val="2"/>
          </rPr>
          <t xml:space="preserve">
FROM 1994 THROUGH 2002 I USED THE "VOLUME AND VALUE BY COUNTY" REPORT
</t>
        </r>
      </text>
    </comment>
    <comment ref="BI39" authorId="1" shapeId="0">
      <text>
        <r>
          <rPr>
            <b/>
            <sz val="8"/>
            <color indexed="81"/>
            <rFont val="Tahoma"/>
            <family val="2"/>
          </rPr>
          <t>kmbrown:</t>
        </r>
        <r>
          <rPr>
            <sz val="8"/>
            <color indexed="81"/>
            <rFont val="Tahoma"/>
            <family val="2"/>
          </rPr>
          <t xml:space="preserve">
BEGINNING HERE DATA IS BY THE FY AND VOL WAS FROM THE TRAS VOL AND VALUE REPORTS</t>
        </r>
      </text>
    </comment>
  </commentList>
</comments>
</file>

<file path=xl/comments3.xml><?xml version="1.0" encoding="utf-8"?>
<comments xmlns="http://schemas.openxmlformats.org/spreadsheetml/2006/main">
  <authors>
    <author>jtenny</author>
  </authors>
  <commentList>
    <comment ref="B304" authorId="0" shapeId="0">
      <text>
        <r>
          <rPr>
            <b/>
            <sz val="9"/>
            <color indexed="81"/>
            <rFont val="Tahoma"/>
            <family val="2"/>
          </rPr>
          <t>jtenny:</t>
        </r>
        <r>
          <rPr>
            <sz val="9"/>
            <color indexed="81"/>
            <rFont val="Tahoma"/>
            <family val="2"/>
          </rPr>
          <t xml:space="preserve">
may have missed Wallowa in the CSL report.</t>
        </r>
      </text>
    </comment>
  </commentList>
</comments>
</file>

<file path=xl/comments4.xml><?xml version="1.0" encoding="utf-8"?>
<comments xmlns="http://schemas.openxmlformats.org/spreadsheetml/2006/main">
  <authors>
    <author>jtenny</author>
  </authors>
  <commentList>
    <comment ref="P15" authorId="0" shapeId="0">
      <text>
        <r>
          <rPr>
            <b/>
            <sz val="9"/>
            <color indexed="81"/>
            <rFont val="Tahoma"/>
            <family val="2"/>
          </rPr>
          <t>jtenny:</t>
        </r>
        <r>
          <rPr>
            <sz val="9"/>
            <color indexed="81"/>
            <rFont val="Tahoma"/>
            <family val="2"/>
          </rPr>
          <t xml:space="preserve">
</t>
        </r>
      </text>
    </comment>
  </commentList>
</comments>
</file>

<file path=xl/sharedStrings.xml><?xml version="1.0" encoding="utf-8"?>
<sst xmlns="http://schemas.openxmlformats.org/spreadsheetml/2006/main" count="2525" uniqueCount="538">
  <si>
    <t>Board of Forestry Land</t>
  </si>
  <si>
    <t>Common School Land</t>
  </si>
  <si>
    <t>VOLUME MBF</t>
  </si>
  <si>
    <t>TIMBER VALUE</t>
  </si>
  <si>
    <t>VOLUME  MBF</t>
  </si>
  <si>
    <t>VALUE</t>
  </si>
  <si>
    <t>Year</t>
  </si>
  <si>
    <t>Fiscal</t>
  </si>
  <si>
    <t>5yr avg</t>
  </si>
  <si>
    <t>10yr avg</t>
  </si>
  <si>
    <t>Volume = thousand board feet</t>
  </si>
  <si>
    <t>Value = Gross timber value before project work is subtracted</t>
  </si>
  <si>
    <t>Fiscal Year = Jul 1 through June 30</t>
  </si>
  <si>
    <t>Combined Funds</t>
  </si>
  <si>
    <t>FY</t>
  </si>
  <si>
    <t>DISTRICT</t>
  </si>
  <si>
    <t>VOL MBF BOF</t>
  </si>
  <si>
    <t>VOL MBF CSL</t>
  </si>
  <si>
    <t>VAL BOF</t>
  </si>
  <si>
    <t>VAL CSL</t>
  </si>
  <si>
    <t>WO</t>
  </si>
  <si>
    <t>WL</t>
  </si>
  <si>
    <t>AT</t>
  </si>
  <si>
    <t>FG</t>
  </si>
  <si>
    <t>TL</t>
  </si>
  <si>
    <t>CS</t>
  </si>
  <si>
    <t>GP</t>
  </si>
  <si>
    <t>KL</t>
  </si>
  <si>
    <t>Total</t>
  </si>
  <si>
    <t>FY2006</t>
  </si>
  <si>
    <t>FY2007</t>
  </si>
  <si>
    <t>FY2008</t>
  </si>
  <si>
    <t>3 yr Avg</t>
  </si>
  <si>
    <t>5 yr Avg</t>
  </si>
  <si>
    <t>Diff 06 vs 07</t>
  </si>
  <si>
    <t>Diff 07 vs 08</t>
  </si>
  <si>
    <t>04</t>
  </si>
  <si>
    <t>05</t>
  </si>
  <si>
    <t>34</t>
  </si>
  <si>
    <t>36</t>
  </si>
  <si>
    <t>29</t>
  </si>
  <si>
    <t>NC</t>
  </si>
  <si>
    <t>BENTON</t>
  </si>
  <si>
    <t>CLACKAMAS</t>
  </si>
  <si>
    <t>CLATSOP</t>
  </si>
  <si>
    <t>COLUMBIA</t>
  </si>
  <si>
    <t>COOS</t>
  </si>
  <si>
    <t>CURRY</t>
  </si>
  <si>
    <t>DOUGLAS</t>
  </si>
  <si>
    <t>JACKSON</t>
  </si>
  <si>
    <t>JOSEPHINE</t>
  </si>
  <si>
    <t>KLAMATH</t>
  </si>
  <si>
    <t>LANE</t>
  </si>
  <si>
    <t>LINCOLN</t>
  </si>
  <si>
    <t>LINN</t>
  </si>
  <si>
    <t>MARION</t>
  </si>
  <si>
    <t>POLK</t>
  </si>
  <si>
    <t>TILLAMOOK</t>
  </si>
  <si>
    <t>WASHINGTON</t>
  </si>
  <si>
    <t>YAMHILL</t>
  </si>
  <si>
    <t>02</t>
  </si>
  <si>
    <t>21</t>
  </si>
  <si>
    <t>27</t>
  </si>
  <si>
    <t>03</t>
  </si>
  <si>
    <t>22</t>
  </si>
  <si>
    <t>24</t>
  </si>
  <si>
    <t>20</t>
  </si>
  <si>
    <t>10</t>
  </si>
  <si>
    <t>06</t>
  </si>
  <si>
    <t>08</t>
  </si>
  <si>
    <t>15</t>
  </si>
  <si>
    <t>17</t>
  </si>
  <si>
    <t>County</t>
  </si>
  <si>
    <t>No.</t>
  </si>
  <si>
    <t>Dist.</t>
  </si>
  <si>
    <t>Sum of 1949</t>
  </si>
  <si>
    <t>Sum of 1950</t>
  </si>
  <si>
    <t>Sum of 1951</t>
  </si>
  <si>
    <t>Sum of 1952</t>
  </si>
  <si>
    <t>Grand Total</t>
  </si>
  <si>
    <t>Sum of 1966</t>
  </si>
  <si>
    <t>Sum of 1981</t>
  </si>
  <si>
    <t>Sum of 1982</t>
  </si>
  <si>
    <t>Sum of 1953</t>
  </si>
  <si>
    <t>Sum of 1954</t>
  </si>
  <si>
    <t>Sum of 1955</t>
  </si>
  <si>
    <t>Sum of 1956</t>
  </si>
  <si>
    <t>Sum of 1957</t>
  </si>
  <si>
    <t>Sum of 1958</t>
  </si>
  <si>
    <t>Sum of 1959</t>
  </si>
  <si>
    <t>Sum of 1960</t>
  </si>
  <si>
    <t>Sum of 1961</t>
  </si>
  <si>
    <t>Sum of 1962</t>
  </si>
  <si>
    <t>Sum of 1963</t>
  </si>
  <si>
    <t>Sum of 1964</t>
  </si>
  <si>
    <t>Sum of 1965</t>
  </si>
  <si>
    <t>Sum of 1967</t>
  </si>
  <si>
    <t>Sum of 1968</t>
  </si>
  <si>
    <t>Sum of 1969</t>
  </si>
  <si>
    <t>Sum of 1970</t>
  </si>
  <si>
    <t>Sum of 1971</t>
  </si>
  <si>
    <t>Sum of 1972</t>
  </si>
  <si>
    <t>Sum of 1973</t>
  </si>
  <si>
    <t>Sum of 1974</t>
  </si>
  <si>
    <t>Sum of 1975</t>
  </si>
  <si>
    <t>Sum of 1976</t>
  </si>
  <si>
    <t>Sum of 1977</t>
  </si>
  <si>
    <t>Sum of 1978</t>
  </si>
  <si>
    <t>Sum of 1979</t>
  </si>
  <si>
    <t>Sum of 1980</t>
  </si>
  <si>
    <t>Sum of 1983</t>
  </si>
  <si>
    <t>Sum of 1984</t>
  </si>
  <si>
    <t>Sum of 1985</t>
  </si>
  <si>
    <t>Sum of 1986</t>
  </si>
  <si>
    <t>Sum of 1987</t>
  </si>
  <si>
    <t>Sum of 1988</t>
  </si>
  <si>
    <t>Sum of 1989</t>
  </si>
  <si>
    <t>Sum of 1990</t>
  </si>
  <si>
    <t>Sum of 1991</t>
  </si>
  <si>
    <t>Sum of 1992</t>
  </si>
  <si>
    <t>Sum of 1993</t>
  </si>
  <si>
    <t>Sum of 1994</t>
  </si>
  <si>
    <t>Sum of 1995</t>
  </si>
  <si>
    <t>Sum of 1996</t>
  </si>
  <si>
    <t>Sum of 1997</t>
  </si>
  <si>
    <t>Sum of 1998</t>
  </si>
  <si>
    <t>Sum of 1999</t>
  </si>
  <si>
    <t>Sum of 2000</t>
  </si>
  <si>
    <t>Sum of 2001</t>
  </si>
  <si>
    <t>Sum of 2002</t>
  </si>
  <si>
    <t>Sum of 2003</t>
  </si>
  <si>
    <t>Sum of 2004</t>
  </si>
  <si>
    <t>Sum of 2005</t>
  </si>
  <si>
    <t>Sum of 2006</t>
  </si>
  <si>
    <t>Sum of 2007</t>
  </si>
  <si>
    <t>Sum of 2008</t>
  </si>
  <si>
    <t xml:space="preserve"> </t>
  </si>
  <si>
    <t>UMATILLA</t>
  </si>
  <si>
    <t>TL/FG</t>
  </si>
  <si>
    <t>SF</t>
  </si>
  <si>
    <t>CSF</t>
  </si>
  <si>
    <t>TSF</t>
  </si>
  <si>
    <t>Area</t>
  </si>
  <si>
    <t>18</t>
  </si>
  <si>
    <t>30</t>
  </si>
  <si>
    <t>BAKER</t>
  </si>
  <si>
    <t>01</t>
  </si>
  <si>
    <t>CROOK</t>
  </si>
  <si>
    <t>07</t>
  </si>
  <si>
    <t>DESCHUTES</t>
  </si>
  <si>
    <t>09</t>
  </si>
  <si>
    <t>GRANT</t>
  </si>
  <si>
    <t>12</t>
  </si>
  <si>
    <t>HARNEY</t>
  </si>
  <si>
    <t>13</t>
  </si>
  <si>
    <t>14</t>
  </si>
  <si>
    <t>JEFFERSON</t>
  </si>
  <si>
    <t>16</t>
  </si>
  <si>
    <t>MALHEUR</t>
  </si>
  <si>
    <t>23</t>
  </si>
  <si>
    <t>MURROW</t>
  </si>
  <si>
    <t>25</t>
  </si>
  <si>
    <t>UNION</t>
  </si>
  <si>
    <t>31</t>
  </si>
  <si>
    <t>WALLOWA</t>
  </si>
  <si>
    <t>32</t>
  </si>
  <si>
    <t>WASCO</t>
  </si>
  <si>
    <t>33</t>
  </si>
  <si>
    <t>WHEELER</t>
  </si>
  <si>
    <t>35</t>
  </si>
  <si>
    <t>LAKE</t>
  </si>
  <si>
    <t>19</t>
  </si>
  <si>
    <t>DOUBLE CHECK</t>
  </si>
  <si>
    <t>CO</t>
  </si>
  <si>
    <t>NE</t>
  </si>
  <si>
    <t>EOA</t>
  </si>
  <si>
    <t>SOA</t>
  </si>
  <si>
    <t>HOOD RIVER</t>
  </si>
  <si>
    <t>FY2004</t>
  </si>
  <si>
    <t>FY2005</t>
  </si>
  <si>
    <t>FY2009</t>
  </si>
  <si>
    <t>FY2010</t>
  </si>
  <si>
    <t>Diff 08 vs 09</t>
  </si>
  <si>
    <t>Diff 09 vs 10</t>
  </si>
  <si>
    <t>BOF &amp; CSL VOLUME</t>
  </si>
  <si>
    <t>BOF &amp; CSL VALUE</t>
  </si>
  <si>
    <t>FY2011</t>
  </si>
  <si>
    <t>Diff 10 vs 11</t>
  </si>
  <si>
    <t>Sum of 2009</t>
  </si>
  <si>
    <t>Sum of 2010</t>
  </si>
  <si>
    <t>Sum of 2011</t>
  </si>
  <si>
    <t>FY2012</t>
  </si>
  <si>
    <t>Diff 11 vs 12</t>
  </si>
  <si>
    <t>Subtotal</t>
  </si>
  <si>
    <t>Sum of 2012</t>
  </si>
  <si>
    <t>FY2013</t>
  </si>
  <si>
    <t>Sum of 2013</t>
  </si>
  <si>
    <t>FY2014</t>
  </si>
  <si>
    <t>00</t>
  </si>
  <si>
    <t>11</t>
  </si>
  <si>
    <t>WIL</t>
  </si>
  <si>
    <t>MORROW</t>
  </si>
  <si>
    <t>NWOA</t>
  </si>
  <si>
    <t>AreaNo</t>
  </si>
  <si>
    <t>District</t>
  </si>
  <si>
    <t>CountyNo</t>
  </si>
  <si>
    <t>CountyName</t>
  </si>
  <si>
    <t>DistrictNo</t>
  </si>
  <si>
    <t>DistrictName</t>
  </si>
  <si>
    <t>4</t>
  </si>
  <si>
    <t>Baker</t>
  </si>
  <si>
    <t>Prineville</t>
  </si>
  <si>
    <t>West Oregon</t>
  </si>
  <si>
    <t>1</t>
  </si>
  <si>
    <t>Benton</t>
  </si>
  <si>
    <t>North Cascade</t>
  </si>
  <si>
    <t>Clackamas</t>
  </si>
  <si>
    <t>Western Lane</t>
  </si>
  <si>
    <t>2</t>
  </si>
  <si>
    <t>Clatsop</t>
  </si>
  <si>
    <t>Forest Grove</t>
  </si>
  <si>
    <t>Astoria</t>
  </si>
  <si>
    <t>Columbia</t>
  </si>
  <si>
    <t>Coos</t>
  </si>
  <si>
    <t>Tillamook</t>
  </si>
  <si>
    <t>3</t>
  </si>
  <si>
    <t>Coos Bay</t>
  </si>
  <si>
    <t>Crook</t>
  </si>
  <si>
    <t>Curry</t>
  </si>
  <si>
    <t>Grants Pass</t>
  </si>
  <si>
    <t>Deschutes</t>
  </si>
  <si>
    <t>Douglas</t>
  </si>
  <si>
    <t>Klamath Falls</t>
  </si>
  <si>
    <t>Gilliam</t>
  </si>
  <si>
    <t>NE Oregon</t>
  </si>
  <si>
    <t>Grant</t>
  </si>
  <si>
    <t>Gilchrist</t>
  </si>
  <si>
    <t>Harney</t>
  </si>
  <si>
    <t>Hood River</t>
  </si>
  <si>
    <t>Jackson</t>
  </si>
  <si>
    <t>Jefferson</t>
  </si>
  <si>
    <t>Josephine</t>
  </si>
  <si>
    <t>Klamath</t>
  </si>
  <si>
    <t>Lake</t>
  </si>
  <si>
    <t>Lane</t>
  </si>
  <si>
    <t>Lincoln</t>
  </si>
  <si>
    <t>Linn</t>
  </si>
  <si>
    <t>Malheur</t>
  </si>
  <si>
    <t>Marion</t>
  </si>
  <si>
    <t>Morrow</t>
  </si>
  <si>
    <t>26</t>
  </si>
  <si>
    <t>Multnomah</t>
  </si>
  <si>
    <t>Polk</t>
  </si>
  <si>
    <t>28</t>
  </si>
  <si>
    <t>Sherman</t>
  </si>
  <si>
    <t>Umatilla</t>
  </si>
  <si>
    <t>Union</t>
  </si>
  <si>
    <t>Wallowa</t>
  </si>
  <si>
    <t>Wasco</t>
  </si>
  <si>
    <t>Washington</t>
  </si>
  <si>
    <t>Wheeler</t>
  </si>
  <si>
    <t>Yamhill</t>
  </si>
  <si>
    <t>37</t>
  </si>
  <si>
    <t>Coos/Doug.</t>
  </si>
  <si>
    <t>WIL - WILLAMETTE</t>
  </si>
  <si>
    <t>Diff 14 vs 13</t>
  </si>
  <si>
    <t>ESF</t>
  </si>
  <si>
    <t>Elliott &amp; Other CSL Districts Value</t>
  </si>
  <si>
    <t>Elliott &amp; Other CSL Districts Volmbf</t>
  </si>
  <si>
    <t>Other Districts</t>
  </si>
  <si>
    <t>Coos/Elliott</t>
  </si>
  <si>
    <t>Transferred Rev</t>
  </si>
  <si>
    <t>Sum of 2014</t>
  </si>
  <si>
    <t>FY2015</t>
  </si>
  <si>
    <t>Diff 12 vs 13</t>
  </si>
  <si>
    <t>Diff 13 vs 14</t>
  </si>
  <si>
    <t>Diff 14 vs 15</t>
  </si>
  <si>
    <t>County
(repeated)</t>
  </si>
  <si>
    <t>ELLIOTT/COOS DISTRICT ONLY</t>
  </si>
  <si>
    <t>ALL CSL</t>
  </si>
  <si>
    <t xml:space="preserve"> All OTHER CSL Val 
(non-COOS)</t>
  </si>
  <si>
    <t xml:space="preserve"> All OTHER CSL Vol mbf
(non-COOS)</t>
  </si>
  <si>
    <t>dblchk</t>
  </si>
  <si>
    <t>2000</t>
  </si>
  <si>
    <t>2001</t>
  </si>
  <si>
    <t>2002</t>
  </si>
  <si>
    <t>2003</t>
  </si>
  <si>
    <t>2004</t>
  </si>
  <si>
    <t>2005</t>
  </si>
  <si>
    <t>2006</t>
  </si>
  <si>
    <t>2007</t>
  </si>
  <si>
    <t>2008</t>
  </si>
  <si>
    <t>2009</t>
  </si>
  <si>
    <t>2010</t>
  </si>
  <si>
    <t>2011</t>
  </si>
  <si>
    <t>2012</t>
  </si>
  <si>
    <t>2013</t>
  </si>
  <si>
    <t>2014</t>
  </si>
  <si>
    <t>2015</t>
  </si>
  <si>
    <t>CSF Total</t>
  </si>
  <si>
    <t>ESF Total</t>
  </si>
  <si>
    <t>TSF Total</t>
  </si>
  <si>
    <t>TILLAMOOK SF</t>
  </si>
  <si>
    <t>CLATSOP SF</t>
  </si>
  <si>
    <t>ELLIOT SF</t>
  </si>
  <si>
    <t>State Forest</t>
  </si>
  <si>
    <t>dblchk sb zero</t>
  </si>
  <si>
    <t>HARVEST VALUE CSL</t>
  </si>
  <si>
    <t>HARVEST VALUE BOF</t>
  </si>
  <si>
    <t>HARVEST VALUE BOTH FUNDS</t>
  </si>
  <si>
    <t>HARVEST VOLUME BOF</t>
  </si>
  <si>
    <t>HARVEST VOLUME CSL</t>
  </si>
  <si>
    <t>FY2016</t>
  </si>
  <si>
    <t>Diff 15 vs 16</t>
  </si>
  <si>
    <t>Diff 14 vs 10</t>
  </si>
  <si>
    <t>Sum of AOP PLANNED VOLUME</t>
  </si>
  <si>
    <t>Sum of SOLD VOLUME</t>
  </si>
  <si>
    <t>SOLD Volume</t>
  </si>
  <si>
    <t>AOP PLANNED Volume</t>
  </si>
  <si>
    <t>Total HARVEST Volume BOTH Funds</t>
  </si>
  <si>
    <t>Tax Policy Group</t>
  </si>
  <si>
    <t>Debt Service6</t>
  </si>
  <si>
    <t>Presence</t>
  </si>
  <si>
    <t>Health</t>
  </si>
  <si>
    <t>Demo.</t>
  </si>
  <si>
    <t xml:space="preserve"> Partial MEL</t>
  </si>
  <si>
    <t>Auditor</t>
  </si>
  <si>
    <t>HB 2162</t>
  </si>
  <si>
    <t>Cap. Const. &amp;</t>
  </si>
  <si>
    <t>FP Field</t>
  </si>
  <si>
    <t>Watershed</t>
  </si>
  <si>
    <t>Blue Mtn.</t>
  </si>
  <si>
    <t xml:space="preserve">Aviation and </t>
  </si>
  <si>
    <t xml:space="preserve">Internal </t>
  </si>
  <si>
    <t>POP 343</t>
  </si>
  <si>
    <t>POP 391</t>
  </si>
  <si>
    <t>POP 361</t>
  </si>
  <si>
    <t>POP 331</t>
  </si>
  <si>
    <t>POP 341</t>
  </si>
  <si>
    <t>POP 311</t>
  </si>
  <si>
    <t>POP 301</t>
  </si>
  <si>
    <t>2001-2003</t>
  </si>
  <si>
    <t>FTE</t>
  </si>
  <si>
    <t>Position</t>
  </si>
  <si>
    <t>Federal Funds</t>
  </si>
  <si>
    <t xml:space="preserve">O.F. Non Limited </t>
  </si>
  <si>
    <t>Other Fund</t>
  </si>
  <si>
    <t>Lottery Fund</t>
  </si>
  <si>
    <t>General Fund</t>
  </si>
  <si>
    <t>Debt Service</t>
  </si>
  <si>
    <t>OF Construction</t>
  </si>
  <si>
    <t>Cap Impv OF</t>
  </si>
  <si>
    <t>Construction</t>
  </si>
  <si>
    <t>Capital Improvement &amp;</t>
  </si>
  <si>
    <t>Federal Fund</t>
  </si>
  <si>
    <t>Other Funds</t>
  </si>
  <si>
    <t>State Forest Land</t>
  </si>
  <si>
    <t>Legislatively Adopted Budget</t>
  </si>
  <si>
    <t>Adopted Budget</t>
  </si>
  <si>
    <t>2017-2019</t>
  </si>
  <si>
    <t>2015-2017</t>
  </si>
  <si>
    <t>2013-2015</t>
  </si>
  <si>
    <t>2011-13</t>
  </si>
  <si>
    <t>2009-11</t>
  </si>
  <si>
    <t>2007-09</t>
  </si>
  <si>
    <t>2005-07</t>
  </si>
  <si>
    <t>2003-05</t>
  </si>
  <si>
    <t>2001-03</t>
  </si>
  <si>
    <t>1999-01</t>
  </si>
  <si>
    <t>1997-99</t>
  </si>
  <si>
    <t>1995-97</t>
  </si>
  <si>
    <t>1993-95</t>
  </si>
  <si>
    <t>1991-93</t>
  </si>
  <si>
    <t>1989-91</t>
  </si>
  <si>
    <t>1987-89</t>
  </si>
  <si>
    <t>The data used for the harvested volume portion of this represents actual harvest data from the TRAS Q&amp;R database, "Harvested Volume/Bidup Cutout" year end report that represents the actual bureau certified volume that is removed from the timber sales each month.</t>
  </si>
  <si>
    <t>Harvested Volume</t>
  </si>
  <si>
    <r>
      <t xml:space="preserve">The data used for the Sold volume portion of this was pulled from the Sale Plan database Reports section "Sold volume by Fiscal Year" for 1999-2008. The data for sold volume '96, '97, and '98 was pulled from the TRAS Q&amp;R database for a list of sales based on the sale number (ie. 19** gave me a list of all sales that were sold in fiscal '96, then each sale was looked up in TRAS and a calculation was done to split the volume by fund.)  </t>
    </r>
    <r>
      <rPr>
        <b/>
        <sz val="8"/>
        <rFont val="Arial"/>
        <family val="2"/>
      </rPr>
      <t xml:space="preserve">2009 -2011 </t>
    </r>
    <r>
      <rPr>
        <sz val="8"/>
        <color indexed="23"/>
        <rFont val="Arial"/>
        <family val="2"/>
      </rPr>
      <t>Data was pulled using a newly created query "qrySusansAnnualPlanSoldVolumns_01" out of the SalePlan database.  Using this new query changed the previously published 2009 numbers</t>
    </r>
    <r>
      <rPr>
        <b/>
        <sz val="8"/>
        <color indexed="12"/>
        <rFont val="Arial"/>
        <family val="2"/>
      </rPr>
      <t xml:space="preserve">
</t>
    </r>
    <r>
      <rPr>
        <b/>
        <sz val="8"/>
        <color indexed="60"/>
        <rFont val="Arial"/>
        <family val="2"/>
      </rPr>
      <t>RUN "qrySusansAnnualPlanSoldVolumes_01" IN SALEPLAN DB FOR THE PLANNED AND SOLD VOLUMES FOR THIS REPORT.  WHEN ENTERING THE DATE PARAMETERS ENTER THE SAME YEAR FOR BOTH THE BEGINNING AND END</t>
    </r>
  </si>
  <si>
    <t>Sold Volume</t>
  </si>
  <si>
    <r>
      <t xml:space="preserve">1999-2008 data used for the planned volume portion was pulled from the Sale Plan database, reports section, 'Sale Plan Year Volume for BOF and CSL" the year is changed by going into the design of "Vol BOF and CSL" Query in the sale plan database query section.  </t>
    </r>
    <r>
      <rPr>
        <b/>
        <sz val="8"/>
        <rFont val="Arial"/>
        <family val="2"/>
      </rPr>
      <t xml:space="preserve">2009 -2011 </t>
    </r>
    <r>
      <rPr>
        <sz val="8"/>
        <color indexed="23"/>
        <rFont val="Arial"/>
        <family val="2"/>
      </rPr>
      <t>Data was pulled using a newly created query "qrySusansAnnualPlanSoldVolumns_01" out of the SalePlan database.  Using this new query changed the previously published 2009 numbers</t>
    </r>
    <r>
      <rPr>
        <sz val="8"/>
        <color indexed="10"/>
        <rFont val="Arial"/>
        <family val="2"/>
      </rPr>
      <t xml:space="preserve">
</t>
    </r>
    <r>
      <rPr>
        <b/>
        <sz val="8"/>
        <color indexed="60"/>
        <rFont val="Arial"/>
        <family val="2"/>
      </rPr>
      <t>RUN "qrySusansAnnualPlanSoldVolumes_01" IN SALEPLAN DB FOR THE PLANNED AND SOLD VOLUMES FOR THIS REPORT.  WHEN ENTERING THE DATE PARAMETERS ENTER THE SAME YEAR FOR BOTH THE BEGINNING AND END</t>
    </r>
  </si>
  <si>
    <t xml:space="preserve">Planned Volume </t>
  </si>
  <si>
    <t>TOTAL Harvested Volume (MBF)</t>
  </si>
  <si>
    <t>TOTALSold Volume</t>
  </si>
  <si>
    <t>TOTAL AOP Planned Volume</t>
  </si>
  <si>
    <t>Fiscal Year</t>
  </si>
  <si>
    <t>CSL Harvested Vol.</t>
  </si>
  <si>
    <t>BOF Harvested Vol.</t>
  </si>
  <si>
    <t>CSL Sold Volume</t>
  </si>
  <si>
    <t>BOF Sold Volume</t>
  </si>
  <si>
    <t>CSL AOP Planned Volume</t>
  </si>
  <si>
    <t>BOF AOP Planned Volume</t>
  </si>
  <si>
    <t>Statewide ALL SF Districts</t>
  </si>
  <si>
    <t>Harvested Vol. CSL</t>
  </si>
  <si>
    <t>Harvested Vol. BOF</t>
  </si>
  <si>
    <t>Big Three</t>
  </si>
  <si>
    <t>Klamath-Lake</t>
  </si>
  <si>
    <t>Sw Or - Grants Pass</t>
  </si>
  <si>
    <t>West Lane</t>
  </si>
  <si>
    <t>Harvested Vol. Vol. BOF</t>
  </si>
  <si>
    <t>Harvested Vol. Vol. CSL</t>
  </si>
  <si>
    <t>.</t>
  </si>
  <si>
    <t>GP &amp; Coos Districts</t>
  </si>
  <si>
    <t>New FMP Districts</t>
  </si>
  <si>
    <t xml:space="preserve">All </t>
  </si>
  <si>
    <t>Walllowa</t>
  </si>
  <si>
    <t>Total Value</t>
  </si>
  <si>
    <t>Value CSL</t>
  </si>
  <si>
    <t>Value BOF</t>
  </si>
  <si>
    <t>Total Volume</t>
  </si>
  <si>
    <t>Volume CSL</t>
  </si>
  <si>
    <t>Volume BOF</t>
  </si>
  <si>
    <t>Sum of TOTAL Harvested Volume (MBF)</t>
  </si>
  <si>
    <t>Sum of TOTALSold Volume</t>
  </si>
  <si>
    <t>Sum of TOTAL AOP Planned Volume</t>
  </si>
  <si>
    <t>Row Labels</t>
  </si>
  <si>
    <t>Pct CSL Val</t>
  </si>
  <si>
    <t>Pct BOF Harv Vol</t>
  </si>
  <si>
    <t>Pct CSL Harv Vol</t>
  </si>
  <si>
    <t>Pct BOF Harv Value</t>
  </si>
  <si>
    <t>FY2003</t>
  </si>
  <si>
    <t>FY2002</t>
  </si>
  <si>
    <t>FY2001</t>
  </si>
  <si>
    <t>FY2000</t>
  </si>
  <si>
    <t>FY1999</t>
  </si>
  <si>
    <t>FY1998</t>
  </si>
  <si>
    <t>DSL TRANSFERS</t>
  </si>
  <si>
    <t>DATA ENTRY</t>
  </si>
  <si>
    <t>YR TO YR DIFFERENCE</t>
  </si>
  <si>
    <t>YR VS. YR INDV. ANALYSIS</t>
  </si>
  <si>
    <t>BIG3</t>
  </si>
  <si>
    <t>NEW FMP DIST</t>
  </si>
  <si>
    <t>GP&amp;CS</t>
  </si>
  <si>
    <t>ALL</t>
  </si>
  <si>
    <t>(Multiple Items)</t>
  </si>
  <si>
    <t>1996</t>
  </si>
  <si>
    <t>1997</t>
  </si>
  <si>
    <t>1998</t>
  </si>
  <si>
    <t>1999</t>
  </si>
  <si>
    <t>2016</t>
  </si>
  <si>
    <t>Sum of AOPvsHarv</t>
  </si>
  <si>
    <t>Sum of SoldVsHarv</t>
  </si>
  <si>
    <t>Select the districts you'd like to analyze here or directly in the graph</t>
  </si>
  <si>
    <t>TOTAL VOLUME (BOTH FUNDS) HISTORICAL HARVEST</t>
  </si>
  <si>
    <t>INSTRUCTIONS</t>
  </si>
  <si>
    <t>TAB</t>
  </si>
  <si>
    <t>DESCRIPTION</t>
  </si>
  <si>
    <t>UPDATED? Enter Initials</t>
  </si>
  <si>
    <t>Pct CSL Harv VOL</t>
  </si>
  <si>
    <t>Total HARVEST VOL BOTH Funds</t>
  </si>
  <si>
    <t>Total AOP PLANNED Volume</t>
  </si>
  <si>
    <t>Total SOLD Volume</t>
  </si>
  <si>
    <t>BOF Vol Harv diff (tab 1 - tab 4)</t>
  </si>
  <si>
    <t>CSL  Vol Harv diff (tab 1 - tab 4)</t>
  </si>
  <si>
    <t>TOTAL   Vol Harv diff (tab 1 - tab 4)</t>
  </si>
  <si>
    <t>BOF  VAL Harv diff (tab 1 - tab 4)</t>
  </si>
  <si>
    <t>CSL VAL Harv diff (tab 1 - tab 4)</t>
  </si>
  <si>
    <t>TOTAL VAL Harv diff (tab 1 - tab 4)</t>
  </si>
  <si>
    <t>BOF Stumpage</t>
  </si>
  <si>
    <t>CSL Stumpage</t>
  </si>
  <si>
    <t>Total Stumpage</t>
  </si>
  <si>
    <t>Bi Total Value</t>
  </si>
  <si>
    <t>Bi BOF Val</t>
  </si>
  <si>
    <t>Bi CSL Value</t>
  </si>
  <si>
    <t>Bi BOF Harv (MBF)</t>
  </si>
  <si>
    <t>Bi CSL Harv (MBF)</t>
  </si>
  <si>
    <t>Bi Total Harv (MBF)</t>
  </si>
  <si>
    <t>BIENNIAL DATA</t>
  </si>
  <si>
    <t>BiBudget FTE</t>
  </si>
  <si>
    <t>TRAS Codes</t>
  </si>
  <si>
    <t>Total Value / Total Volume
Stumpage</t>
  </si>
  <si>
    <t>Data Entry. Update summary formulas</t>
  </si>
  <si>
    <t>Update "Select Data" to include closing FY data</t>
  </si>
  <si>
    <t>Update Data Source to include closing FY data.  Graph will reflect the update to the table.</t>
  </si>
  <si>
    <t xml:space="preserve">Update Data Source to include closing FY data.  </t>
  </si>
  <si>
    <t>TAB3 comparison - small diff ok.</t>
  </si>
  <si>
    <t>this needs to be researched.</t>
  </si>
  <si>
    <t>Select the districts or summary from TAB 2.0 you'd like to analyze here or directly in the graph</t>
  </si>
  <si>
    <r>
      <rPr>
        <b/>
        <sz val="10"/>
        <rFont val="Arial"/>
        <family val="2"/>
      </rPr>
      <t>Primary tab.</t>
    </r>
    <r>
      <rPr>
        <sz val="10"/>
        <rFont val="Arial"/>
        <family val="2"/>
      </rPr>
      <t xml:space="preserve">  Planned, Sold, Removed/Harvested by District.  </t>
    </r>
  </si>
  <si>
    <t>TAB1.0_Accomplishment by District</t>
  </si>
  <si>
    <t>1.1_Annual Harv by FUND</t>
  </si>
  <si>
    <t>High level summary of Tab1.0  by fund</t>
  </si>
  <si>
    <t>Update formulas from TAB1 - check column J comparison to TAB3.0</t>
  </si>
  <si>
    <t>1.2_Pivots &amp; Graphs</t>
  </si>
  <si>
    <t>Pivot Table drives the graph.  Planned --&gt; Sold --&gt; Harvest by District.</t>
  </si>
  <si>
    <t>1.3_Harvest Volume Chart</t>
  </si>
  <si>
    <t>1.4_Value Removed Graph</t>
  </si>
  <si>
    <t>Value of volume removed/harvested from Tab 1.0</t>
  </si>
  <si>
    <t>Chart only: Volume removed/harvested from Tab 1.0</t>
  </si>
  <si>
    <t>1.5_CSL_VolVal</t>
  </si>
  <si>
    <t>High level summary of Harvest Volume and Value.  Separates Elliott/Coos from the rest of the CSL in the State.</t>
  </si>
  <si>
    <t>1.6_CSL Elliott VolVal Chart</t>
  </si>
  <si>
    <t>Another High level summary of Harvest Volume and Value.  Separates Elliott/Coos from the rest of the CSL in the State.</t>
  </si>
  <si>
    <t>Add a row for the closing FY.  Write the summary formulas to pull correct data.  Update "Select Data" for the graph to pull the new data.</t>
  </si>
  <si>
    <t>Pivot of Tab 1.0 by District.  Select summary data or district(s) to drive the table and graph.</t>
  </si>
  <si>
    <t>1.7_District Pivot</t>
  </si>
  <si>
    <t>Graph for each District accomplishment, Area, FMP Districts, Big 3, etc.</t>
  </si>
  <si>
    <t>1. Add rows for closing FY in ea of the District and summary data areas (Big 3, FMP etc.).  Enter data.
2. Copy summary formulas
3. Update "Select Data" for each graph to include closing FY data.</t>
  </si>
  <si>
    <r>
      <t xml:space="preserve">Data Entry; add rows for ea district. Update summary formulas. </t>
    </r>
    <r>
      <rPr>
        <b/>
        <sz val="9"/>
        <rFont val="Arial"/>
        <family val="2"/>
      </rPr>
      <t>WE NEED AT FIND OUT IF PLANNED AND SOLD IS AVAIL BY DIST HISTORICALLY</t>
    </r>
  </si>
  <si>
    <r>
      <t xml:space="preserve">Update Data Source to include closing FY data.  Graph will reflect the update to the table.  </t>
    </r>
    <r>
      <rPr>
        <b/>
        <sz val="9"/>
        <rFont val="Arial"/>
        <family val="2"/>
      </rPr>
      <t>WITHOUT THE ACCOMP DATA FOR TAB 1 FOR ALL DIST THIS DOESN'T LOOK RIGHT.  TL IS THE ONLY 1 WITH DATA</t>
    </r>
  </si>
  <si>
    <t>1. Add 2 new rows for the closing FY.  
2. Write the summary formulas to pull correct data. 
3. Update "Select Data" for the graph to pull the new data.</t>
  </si>
  <si>
    <t>Pivot of Tab 2.</t>
  </si>
  <si>
    <t xml:space="preserve">Pivot Graph of Tab 2 </t>
  </si>
  <si>
    <t>Pivot Graph sl Tab 2</t>
  </si>
  <si>
    <t>Pivot Tras es Tab T</t>
  </si>
  <si>
    <t>1. Add a column for the closing FY.
2. Enter data 
3. Copy/write summary formulas as necessary</t>
  </si>
  <si>
    <t>TAB2.0_Accomplishment Graphs</t>
  </si>
  <si>
    <t>2.1_PIVOT</t>
  </si>
  <si>
    <t>2.2_GRAPH_STWIDE BOF</t>
  </si>
  <si>
    <t>2.3_GRAPH_STWIDE CSL</t>
  </si>
  <si>
    <t>TAB3.0 VOL Historical by County</t>
  </si>
  <si>
    <t>Data goes back to 1949 and is harvest volume BOTH funds historically for each County in OR</t>
  </si>
  <si>
    <t>Pivot Graph showing Clatsop, Col, WA, TL Counties only BOTH funds</t>
  </si>
  <si>
    <t>Pivot Graph approximating State Forest harvest volume BOTH funds</t>
  </si>
  <si>
    <t>APPROXIMATED STATE FOREST VOLUME HARVESTED</t>
  </si>
  <si>
    <t>3.1_NWOA County Graph</t>
  </si>
  <si>
    <t>3.2_STATE FOREST HARV Piv Tbl</t>
  </si>
  <si>
    <t>TAB4.0 VolVal Historical_ByCounty</t>
  </si>
  <si>
    <t>Another view of Harvest by County by Fund.  We may not need this - TBD</t>
  </si>
  <si>
    <t>need for this Tab TBD</t>
  </si>
  <si>
    <t>FY2017</t>
  </si>
  <si>
    <t>dblchk w/Tab1</t>
  </si>
  <si>
    <t>dblchk w/Tab 1:  Tab 1 Total Volume</t>
  </si>
  <si>
    <t>TOTAL VOL FRM TAB 1</t>
  </si>
  <si>
    <t>P</t>
  </si>
  <si>
    <t>N/A</t>
  </si>
  <si>
    <t>"p" = check mark</t>
  </si>
  <si>
    <r>
      <t xml:space="preserve">STATE FORESTS </t>
    </r>
    <r>
      <rPr>
        <b/>
        <sz val="8"/>
        <rFont val="Arial"/>
        <family val="2"/>
      </rPr>
      <t>(aproximated)</t>
    </r>
  </si>
  <si>
    <t>(blank)</t>
  </si>
  <si>
    <t>Sum of 2015</t>
  </si>
  <si>
    <t>Sum of Total HARVEST VOL BOTH Funds</t>
  </si>
  <si>
    <t>DATA ENTRY ABOVE ONLY</t>
  </si>
  <si>
    <t>FMP DIST</t>
  </si>
  <si>
    <t>HOME</t>
  </si>
  <si>
    <r>
      <rPr>
        <b/>
        <u/>
        <sz val="10"/>
        <color rgb="FFFF0000"/>
        <rFont val="Arial"/>
        <family val="2"/>
      </rPr>
      <t>INSTRUCTIONS</t>
    </r>
    <r>
      <rPr>
        <b/>
        <sz val="10"/>
        <color rgb="FFFF0000"/>
        <rFont val="Arial"/>
        <family val="2"/>
      </rPr>
      <t xml:space="preserve">: </t>
    </r>
    <r>
      <rPr>
        <b/>
        <sz val="10"/>
        <rFont val="Arial"/>
        <family val="2"/>
      </rPr>
      <t xml:space="preserve"> </t>
    </r>
    <r>
      <rPr>
        <sz val="10"/>
        <rFont val="Arial"/>
        <family val="2"/>
      </rPr>
      <t xml:space="preserve"> UPDATE THE DATA AND THE FORMULAS IN THE </t>
    </r>
    <r>
      <rPr>
        <b/>
        <sz val="10"/>
        <color rgb="FFFF0000"/>
        <rFont val="Arial"/>
        <family val="2"/>
      </rPr>
      <t>RED</t>
    </r>
    <r>
      <rPr>
        <sz val="10"/>
        <rFont val="Arial"/>
        <family val="2"/>
      </rPr>
      <t xml:space="preserve"> TABS FIRST.  THEN MOVE THROUGH THE REST OF THE TABS UPDATING SUMMARY FORMULAS, SOURCE DATA AND GRAPH "SELECT DATA".  
EACH TAB NAME IN COL B HAS A HYPERLINK TO IT'S TAB IN THE WORKBOOK AND EACH TAB IN THE WORKBOOK HAS A "HOME" OR A BLUE DATA ELEMENT THAT WILL RETURN YOU TO THIS TAB VIA A HYPERLINK.</t>
    </r>
  </si>
  <si>
    <t>1995</t>
  </si>
  <si>
    <t>1994</t>
  </si>
  <si>
    <t>Unity</t>
  </si>
  <si>
    <t>(Hood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</si>
</sst>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0_);[Red]\(0\)"/>
  </numFmts>
  <fonts count="81" x14ac:knownFonts="1">
    <font>
      <sz val="10"/>
      <name val="MS Sans Serif"/>
    </font>
    <font>
      <sz val="11"/>
      <color theme="1"/>
      <name val="Arial"/>
      <family val="2"/>
    </font>
    <font>
      <sz val="10"/>
      <name val="MS Sans Serif"/>
      <family val="2"/>
    </font>
    <font>
      <sz val="8"/>
      <name val="MS Sans Serif"/>
      <family val="2"/>
    </font>
    <font>
      <sz val="10"/>
      <name val="Arial"/>
      <family val="2"/>
    </font>
    <font>
      <b/>
      <sz val="10"/>
      <name val="Arial"/>
      <family val="2"/>
    </font>
    <font>
      <sz val="10"/>
      <color indexed="8"/>
      <name val="Arial"/>
      <family val="2"/>
    </font>
    <font>
      <b/>
      <sz val="10"/>
      <color indexed="8"/>
      <name val="Arial"/>
      <family val="2"/>
    </font>
    <font>
      <sz val="9.5"/>
      <name val="Arial"/>
      <family val="2"/>
    </font>
    <font>
      <b/>
      <sz val="11"/>
      <name val="Arial"/>
      <family val="2"/>
    </font>
    <font>
      <sz val="11"/>
      <name val="Arial"/>
      <family val="2"/>
    </font>
    <font>
      <b/>
      <sz val="9"/>
      <name val="Arial"/>
      <family val="2"/>
    </font>
    <font>
      <b/>
      <sz val="8"/>
      <name val="Arial"/>
      <family val="2"/>
    </font>
    <font>
      <sz val="8"/>
      <color indexed="81"/>
      <name val="Tahoma"/>
      <family val="2"/>
    </font>
    <font>
      <b/>
      <sz val="8"/>
      <color indexed="81"/>
      <name val="Tahoma"/>
      <family val="2"/>
    </font>
    <font>
      <sz val="10"/>
      <color indexed="12"/>
      <name val="Arial"/>
      <family val="2"/>
    </font>
    <font>
      <sz val="10"/>
      <color indexed="17"/>
      <name val="Arial"/>
      <family val="2"/>
    </font>
    <font>
      <sz val="9"/>
      <color indexed="23"/>
      <name val="Arial"/>
      <family val="2"/>
    </font>
    <font>
      <sz val="8"/>
      <color indexed="23"/>
      <name val="Arial"/>
      <family val="2"/>
    </font>
    <font>
      <sz val="8"/>
      <color indexed="10"/>
      <name val="Arial"/>
      <family val="2"/>
    </font>
    <font>
      <sz val="10"/>
      <color indexed="55"/>
      <name val="Arial"/>
      <family val="2"/>
    </font>
    <font>
      <sz val="9"/>
      <name val="Arial"/>
      <family val="2"/>
    </font>
    <font>
      <sz val="11"/>
      <color indexed="8"/>
      <name val="Calibri"/>
      <family val="2"/>
    </font>
    <font>
      <sz val="9"/>
      <color indexed="81"/>
      <name val="Tahoma"/>
      <family val="2"/>
    </font>
    <font>
      <b/>
      <sz val="9"/>
      <color indexed="81"/>
      <name val="Tahoma"/>
      <family val="2"/>
    </font>
    <font>
      <sz val="10"/>
      <color rgb="FF006666"/>
      <name val="Arial"/>
      <family val="2"/>
    </font>
    <font>
      <sz val="10"/>
      <name val="MS Sans Serif"/>
    </font>
    <font>
      <sz val="10"/>
      <color rgb="FF7030A0"/>
      <name val="Arial"/>
      <family val="2"/>
    </font>
    <font>
      <b/>
      <sz val="16"/>
      <color theme="1"/>
      <name val="Calibri"/>
      <family val="2"/>
      <scheme val="minor"/>
    </font>
    <font>
      <sz val="10"/>
      <color indexed="10"/>
      <name val="Arial"/>
      <family val="2"/>
    </font>
    <font>
      <sz val="9"/>
      <color theme="0" tint="-0.499984740745262"/>
      <name val="Arial"/>
      <family val="2"/>
    </font>
    <font>
      <b/>
      <sz val="10"/>
      <color theme="0" tint="-0.499984740745262"/>
      <name val="Arial"/>
      <family val="2"/>
    </font>
    <font>
      <sz val="10"/>
      <color theme="1" tint="0.499984740745262"/>
      <name val="Arial"/>
      <family val="2"/>
    </font>
    <font>
      <sz val="10"/>
      <color theme="0" tint="-0.34998626667073579"/>
      <name val="Arial"/>
      <family val="2"/>
    </font>
    <font>
      <b/>
      <sz val="12"/>
      <color theme="0"/>
      <name val="Arial"/>
      <family val="2"/>
    </font>
    <font>
      <b/>
      <sz val="10"/>
      <color rgb="FFC00000"/>
      <name val="Arial"/>
      <family val="2"/>
    </font>
    <font>
      <b/>
      <sz val="10"/>
      <color rgb="FF3333FF"/>
      <name val="Arial"/>
      <family val="2"/>
    </font>
    <font>
      <b/>
      <sz val="8"/>
      <color theme="0" tint="-0.34998626667073579"/>
      <name val="Arial"/>
      <family val="2"/>
    </font>
    <font>
      <sz val="8"/>
      <color theme="0" tint="-0.34998626667073579"/>
      <name val="Arial"/>
      <family val="2"/>
    </font>
    <font>
      <b/>
      <sz val="9"/>
      <color theme="0"/>
      <name val="Arial"/>
      <family val="2"/>
    </font>
    <font>
      <b/>
      <sz val="10"/>
      <color theme="6" tint="-0.499984740745262"/>
      <name val="Arial"/>
      <family val="2"/>
    </font>
    <font>
      <b/>
      <sz val="10"/>
      <color theme="0"/>
      <name val="Arial"/>
      <family val="2"/>
    </font>
    <font>
      <b/>
      <u/>
      <sz val="10"/>
      <name val="Arial"/>
      <family val="2"/>
    </font>
    <font>
      <b/>
      <u/>
      <sz val="16"/>
      <name val="Arial"/>
      <family val="2"/>
    </font>
    <font>
      <sz val="9"/>
      <color theme="1" tint="0.34998626667073579"/>
      <name val="Arial"/>
      <family val="2"/>
    </font>
    <font>
      <sz val="10"/>
      <color theme="0"/>
      <name val="Arial"/>
      <family val="2"/>
    </font>
    <font>
      <b/>
      <sz val="8"/>
      <color indexed="10"/>
      <name val="Times New Roman"/>
      <family val="1"/>
    </font>
    <font>
      <sz val="8"/>
      <name val="Times New Roman"/>
      <family val="1"/>
    </font>
    <font>
      <b/>
      <sz val="8"/>
      <name val="Times New Roman"/>
      <family val="1"/>
    </font>
    <font>
      <sz val="12"/>
      <name val="Arial"/>
      <family val="2"/>
    </font>
    <font>
      <b/>
      <sz val="11"/>
      <color theme="0"/>
      <name val="Arial"/>
      <family val="2"/>
    </font>
    <font>
      <b/>
      <sz val="10"/>
      <color indexed="9"/>
      <name val="Arial"/>
      <family val="2"/>
    </font>
    <font>
      <sz val="10"/>
      <color theme="1" tint="0.34998626667073579"/>
      <name val="Arial"/>
      <family val="2"/>
    </font>
    <font>
      <sz val="8"/>
      <name val="Arial"/>
      <family val="2"/>
    </font>
    <font>
      <b/>
      <sz val="16"/>
      <name val="Comic Sans MS"/>
      <family val="4"/>
    </font>
    <font>
      <b/>
      <sz val="11"/>
      <name val="Comic Sans MS"/>
      <family val="4"/>
    </font>
    <font>
      <b/>
      <sz val="8"/>
      <color indexed="12"/>
      <name val="Arial"/>
      <family val="2"/>
    </font>
    <font>
      <b/>
      <sz val="8"/>
      <color indexed="60"/>
      <name val="Arial"/>
      <family val="2"/>
    </font>
    <font>
      <b/>
      <sz val="18"/>
      <name val="Comic Sans MS"/>
      <family val="4"/>
    </font>
    <font>
      <sz val="10"/>
      <color indexed="23"/>
      <name val="Arial"/>
      <family val="2"/>
    </font>
    <font>
      <b/>
      <sz val="10"/>
      <color indexed="23"/>
      <name val="Arial"/>
      <family val="2"/>
    </font>
    <font>
      <sz val="12"/>
      <name val="MS Sans Serif"/>
      <family val="2"/>
    </font>
    <font>
      <b/>
      <sz val="11"/>
      <color indexed="9"/>
      <name val="Arial"/>
      <family val="2"/>
    </font>
    <font>
      <sz val="9"/>
      <name val="MS Sans Serif"/>
    </font>
    <font>
      <b/>
      <sz val="8"/>
      <name val="Comic Sans MS"/>
      <family val="4"/>
    </font>
    <font>
      <b/>
      <u/>
      <sz val="9"/>
      <name val="Arial"/>
      <family val="2"/>
    </font>
    <font>
      <sz val="9"/>
      <color theme="0"/>
      <name val="Arial"/>
      <family val="2"/>
    </font>
    <font>
      <sz val="9"/>
      <color indexed="8"/>
      <name val="Arial"/>
      <family val="2"/>
    </font>
    <font>
      <sz val="9"/>
      <color indexed="55"/>
      <name val="MS Sans Serif"/>
      <family val="2"/>
    </font>
    <font>
      <sz val="9"/>
      <color indexed="55"/>
      <name val="Arial"/>
      <family val="2"/>
    </font>
    <font>
      <sz val="8"/>
      <color rgb="FFFF0000"/>
      <name val="Arial"/>
      <family val="2"/>
    </font>
    <font>
      <sz val="22"/>
      <name val="Wingdings 2"/>
      <family val="1"/>
      <charset val="2"/>
    </font>
    <font>
      <sz val="22"/>
      <name val="Wingdings"/>
      <charset val="2"/>
    </font>
    <font>
      <b/>
      <sz val="18"/>
      <color theme="0"/>
      <name val="Comic Sans MS"/>
      <family val="4"/>
    </font>
    <font>
      <b/>
      <sz val="8"/>
      <color theme="0"/>
      <name val="Comic Sans MS"/>
      <family val="4"/>
    </font>
    <font>
      <sz val="10"/>
      <color rgb="FF3333FF"/>
      <name val="Arial"/>
      <family val="2"/>
    </font>
    <font>
      <b/>
      <sz val="6"/>
      <name val="Comic Sans MS"/>
      <family val="4"/>
    </font>
    <font>
      <b/>
      <sz val="10"/>
      <color rgb="FFFF0000"/>
      <name val="Arial"/>
      <family val="2"/>
    </font>
    <font>
      <u/>
      <sz val="10"/>
      <color theme="10"/>
      <name val="MS Sans Serif"/>
    </font>
    <font>
      <b/>
      <u/>
      <sz val="10"/>
      <color rgb="FFFF0000"/>
      <name val="Arial"/>
      <family val="2"/>
    </font>
    <font>
      <i/>
      <sz val="10"/>
      <color rgb="FF3333FF"/>
      <name val="Arial"/>
      <family val="2"/>
    </font>
  </fonts>
  <fills count="49">
    <fill>
      <patternFill patternType="none"/>
    </fill>
    <fill>
      <patternFill patternType="gray125"/>
    </fill>
    <fill>
      <patternFill patternType="solid">
        <fgColor indexed="9"/>
        <bgColor indexed="2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2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59996337778862885"/>
        <bgColor indexed="64"/>
      </patternFill>
    </fill>
    <fill>
      <patternFill patternType="solid">
        <fgColor indexed="22"/>
        <bgColor indexed="0"/>
      </patternFill>
    </fill>
    <fill>
      <patternFill patternType="solid">
        <fgColor theme="0"/>
        <bgColor indexed="64"/>
      </patternFill>
    </fill>
    <fill>
      <patternFill patternType="solid">
        <fgColor theme="0"/>
        <bgColor indexed="24"/>
      </patternFill>
    </fill>
    <fill>
      <patternFill patternType="solid">
        <fgColor rgb="FFCCFFCC"/>
        <bgColor indexed="64"/>
      </patternFill>
    </fill>
    <fill>
      <patternFill patternType="solid">
        <fgColor theme="1"/>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rgb="FFFFFF00"/>
        <bgColor indexed="64"/>
      </patternFill>
    </fill>
    <fill>
      <patternFill patternType="solid">
        <fgColor indexed="17"/>
        <bgColor indexed="64"/>
      </patternFill>
    </fill>
    <fill>
      <patternFill patternType="solid">
        <fgColor indexed="26"/>
        <bgColor indexed="26"/>
      </patternFill>
    </fill>
    <fill>
      <patternFill patternType="solid">
        <fgColor rgb="FFCCECFF"/>
        <bgColor indexed="64"/>
      </patternFill>
    </fill>
    <fill>
      <patternFill patternType="solid">
        <fgColor indexed="9"/>
        <bgColor indexed="26"/>
      </patternFill>
    </fill>
    <fill>
      <patternFill patternType="solid">
        <fgColor indexed="42"/>
        <bgColor indexed="26"/>
      </patternFill>
    </fill>
    <fill>
      <patternFill patternType="solid">
        <fgColor indexed="43"/>
        <bgColor indexed="26"/>
      </patternFill>
    </fill>
    <fill>
      <patternFill patternType="solid">
        <fgColor indexed="26"/>
        <bgColor indexed="64"/>
      </patternFill>
    </fill>
    <fill>
      <patternFill patternType="solid">
        <fgColor indexed="63"/>
        <bgColor indexed="64"/>
      </patternFill>
    </fill>
    <fill>
      <patternFill patternType="solid">
        <fgColor theme="1" tint="0.14999847407452621"/>
        <bgColor indexed="64"/>
      </patternFill>
    </fill>
    <fill>
      <patternFill patternType="solid">
        <fgColor theme="9" tint="-0.49998474074526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59999389629810485"/>
        <bgColor indexed="24"/>
      </patternFill>
    </fill>
    <fill>
      <patternFill patternType="solid">
        <fgColor theme="4" tint="0.39997558519241921"/>
        <bgColor indexed="64"/>
      </patternFill>
    </fill>
    <fill>
      <patternFill patternType="solid">
        <fgColor theme="4" tint="0.39997558519241921"/>
        <bgColor indexed="24"/>
      </patternFill>
    </fill>
    <fill>
      <patternFill patternType="solid">
        <fgColor rgb="FFFFCC66"/>
        <bgColor indexed="64"/>
      </patternFill>
    </fill>
    <fill>
      <patternFill patternType="solid">
        <fgColor rgb="FFFFCC66"/>
        <bgColor indexed="24"/>
      </patternFill>
    </fill>
    <fill>
      <patternFill patternType="solid">
        <fgColor rgb="FFC00000"/>
        <bgColor indexed="64"/>
      </patternFill>
    </fill>
    <fill>
      <patternFill patternType="solid">
        <fgColor theme="5"/>
        <bgColor indexed="64"/>
      </patternFill>
    </fill>
    <fill>
      <patternFill patternType="solid">
        <fgColor theme="5" tint="0.79998168889431442"/>
        <bgColor indexed="64"/>
      </patternFill>
    </fill>
    <fill>
      <patternFill patternType="solid">
        <fgColor theme="1"/>
        <bgColor indexed="26"/>
      </patternFill>
    </fill>
    <fill>
      <patternFill patternType="solid">
        <fgColor theme="0" tint="-4.9989318521683403E-2"/>
        <bgColor indexed="26"/>
      </patternFill>
    </fill>
    <fill>
      <patternFill patternType="solid">
        <fgColor theme="4" tint="0.59999389629810485"/>
        <bgColor indexed="26"/>
      </patternFill>
    </fill>
    <fill>
      <patternFill patternType="solid">
        <fgColor theme="4" tint="0.59999389629810485"/>
        <bgColor indexed="64"/>
      </patternFill>
    </fill>
    <fill>
      <gradientFill degree="90">
        <stop position="0">
          <color theme="0"/>
        </stop>
        <stop position="1">
          <color rgb="FFFF0000"/>
        </stop>
      </gradientFill>
    </fill>
  </fills>
  <borders count="2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dotted">
        <color indexed="55"/>
      </left>
      <right style="dotted">
        <color indexed="55"/>
      </right>
      <top style="dotted">
        <color indexed="55"/>
      </top>
      <bottom style="dotted">
        <color indexed="55"/>
      </bottom>
      <diagonal/>
    </border>
    <border>
      <left style="dotted">
        <color indexed="55"/>
      </left>
      <right style="dotted">
        <color indexed="55"/>
      </right>
      <top/>
      <bottom style="dotted">
        <color indexed="55"/>
      </bottom>
      <diagonal/>
    </border>
    <border>
      <left style="dotted">
        <color indexed="55"/>
      </left>
      <right style="thin">
        <color indexed="64"/>
      </right>
      <top/>
      <bottom style="dotted">
        <color indexed="55"/>
      </bottom>
      <diagonal/>
    </border>
    <border>
      <left style="dotted">
        <color indexed="55"/>
      </left>
      <right/>
      <top/>
      <bottom style="dotted">
        <color indexed="55"/>
      </bottom>
      <diagonal/>
    </border>
    <border>
      <left/>
      <right/>
      <top style="dashDotDot">
        <color indexed="64"/>
      </top>
      <bottom style="double">
        <color indexed="64"/>
      </bottom>
      <diagonal/>
    </border>
    <border>
      <left/>
      <right/>
      <top style="thin">
        <color indexed="64"/>
      </top>
      <bottom style="thin">
        <color indexed="64"/>
      </bottom>
      <diagonal/>
    </border>
    <border>
      <left/>
      <right style="double">
        <color indexed="64"/>
      </right>
      <top style="dashDotDot">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dotted">
        <color indexed="64"/>
      </top>
      <bottom style="dotted">
        <color indexed="64"/>
      </bottom>
      <diagonal/>
    </border>
    <border>
      <left style="thin">
        <color indexed="64"/>
      </left>
      <right style="thin">
        <color indexed="64"/>
      </right>
      <top style="double">
        <color indexed="64"/>
      </top>
      <bottom style="thin">
        <color indexed="64"/>
      </bottom>
      <diagonal/>
    </border>
    <border>
      <left style="dashDot">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ouble">
        <color indexed="64"/>
      </bottom>
      <diagonal/>
    </border>
    <border>
      <left style="medium">
        <color indexed="64"/>
      </left>
      <right style="thin">
        <color indexed="64"/>
      </right>
      <top/>
      <bottom style="medium">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style="dotted">
        <color indexed="64"/>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mediumDashDotDot">
        <color indexed="64"/>
      </top>
      <bottom style="dash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dotted">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dotted">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uble">
        <color indexed="64"/>
      </left>
      <right style="dotted">
        <color indexed="64"/>
      </right>
      <top style="medium">
        <color indexed="64"/>
      </top>
      <bottom style="thin">
        <color indexed="64"/>
      </bottom>
      <diagonal/>
    </border>
    <border>
      <left style="dotted">
        <color indexed="64"/>
      </left>
      <right style="double">
        <color indexed="64"/>
      </right>
      <top style="medium">
        <color indexed="64"/>
      </top>
      <bottom style="thin">
        <color indexed="64"/>
      </bottom>
      <diagonal/>
    </border>
    <border>
      <left style="double">
        <color indexed="64"/>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ashDotDot">
        <color indexed="64"/>
      </bottom>
      <diagonal/>
    </border>
    <border>
      <left style="thin">
        <color indexed="64"/>
      </left>
      <right style="thin">
        <color indexed="64"/>
      </right>
      <top style="medium">
        <color indexed="64"/>
      </top>
      <bottom style="dashDotDot">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tted">
        <color indexed="64"/>
      </right>
      <top style="thin">
        <color indexed="64"/>
      </top>
      <bottom/>
      <diagonal/>
    </border>
    <border>
      <left/>
      <right style="thin">
        <color auto="1"/>
      </right>
      <top style="double">
        <color auto="1"/>
      </top>
      <bottom style="thin">
        <color auto="1"/>
      </bottom>
      <diagonal/>
    </border>
    <border>
      <left/>
      <right/>
      <top/>
      <bottom style="dashDotDot">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style="thin">
        <color auto="1"/>
      </right>
      <top style="double">
        <color auto="1"/>
      </top>
      <bottom style="dotted">
        <color auto="1"/>
      </bottom>
      <diagonal/>
    </border>
    <border>
      <left style="thin">
        <color auto="1"/>
      </left>
      <right style="thin">
        <color auto="1"/>
      </right>
      <top style="double">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thin">
        <color auto="1"/>
      </right>
      <top/>
      <bottom/>
      <diagonal/>
    </border>
    <border>
      <left/>
      <right style="medium">
        <color theme="0"/>
      </right>
      <top/>
      <bottom/>
      <diagonal/>
    </border>
    <border>
      <left style="thin">
        <color auto="1"/>
      </left>
      <right style="medium">
        <color theme="0"/>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bottom/>
      <diagonal/>
    </border>
    <border>
      <left/>
      <right/>
      <top/>
      <bottom style="double">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style="dashed">
        <color indexed="55"/>
      </top>
      <bottom style="medium">
        <color indexed="64"/>
      </bottom>
      <diagonal/>
    </border>
    <border>
      <left style="thin">
        <color indexed="64"/>
      </left>
      <right/>
      <top style="dashed">
        <color indexed="55"/>
      </top>
      <bottom style="medium">
        <color indexed="64"/>
      </bottom>
      <diagonal/>
    </border>
    <border>
      <left style="thin">
        <color indexed="64"/>
      </left>
      <right style="medium">
        <color indexed="64"/>
      </right>
      <top style="dashed">
        <color indexed="55"/>
      </top>
      <bottom style="medium">
        <color indexed="64"/>
      </bottom>
      <diagonal/>
    </border>
    <border>
      <left/>
      <right style="thin">
        <color indexed="64"/>
      </right>
      <top style="dashed">
        <color indexed="55"/>
      </top>
      <bottom/>
      <diagonal/>
    </border>
    <border>
      <left style="medium">
        <color indexed="64"/>
      </left>
      <right style="double">
        <color indexed="64"/>
      </right>
      <top style="dashed">
        <color indexed="55"/>
      </top>
      <bottom/>
      <diagonal/>
    </border>
    <border>
      <left style="thin">
        <color indexed="64"/>
      </left>
      <right style="medium">
        <color indexed="64"/>
      </right>
      <top style="dashed">
        <color indexed="55"/>
      </top>
      <bottom/>
      <diagonal/>
    </border>
    <border>
      <left style="thin">
        <color indexed="64"/>
      </left>
      <right/>
      <top style="dashed">
        <color indexed="55"/>
      </top>
      <bottom/>
      <diagonal/>
    </border>
    <border>
      <left style="medium">
        <color indexed="64"/>
      </left>
      <right style="double">
        <color indexed="64"/>
      </right>
      <top style="dashed">
        <color indexed="55"/>
      </top>
      <bottom style="dashed">
        <color indexed="55"/>
      </bottom>
      <diagonal/>
    </border>
    <border>
      <left style="thin">
        <color indexed="64"/>
      </left>
      <right/>
      <top style="dashed">
        <color indexed="55"/>
      </top>
      <bottom style="dashed">
        <color indexed="55"/>
      </bottom>
      <diagonal/>
    </border>
    <border>
      <left style="medium">
        <color indexed="64"/>
      </left>
      <right style="thin">
        <color indexed="64"/>
      </right>
      <top/>
      <bottom/>
      <diagonal/>
    </border>
    <border>
      <left style="thin">
        <color indexed="64"/>
      </left>
      <right style="medium">
        <color indexed="64"/>
      </right>
      <top style="dashed">
        <color indexed="55"/>
      </top>
      <bottom style="dashed">
        <color indexed="55"/>
      </bottom>
      <diagonal/>
    </border>
    <border>
      <left/>
      <right style="thin">
        <color indexed="64"/>
      </right>
      <top style="dashed">
        <color indexed="55"/>
      </top>
      <bottom style="dashed">
        <color indexed="55"/>
      </bottom>
      <diagonal/>
    </border>
    <border>
      <left style="thin">
        <color indexed="64"/>
      </left>
      <right style="medium">
        <color indexed="64"/>
      </right>
      <top/>
      <bottom style="dashed">
        <color indexed="55"/>
      </bottom>
      <diagonal/>
    </border>
    <border>
      <left/>
      <right style="thin">
        <color indexed="64"/>
      </right>
      <top/>
      <bottom style="dashed">
        <color indexed="55"/>
      </bottom>
      <diagonal/>
    </border>
    <border>
      <left style="medium">
        <color indexed="64"/>
      </left>
      <right style="double">
        <color indexed="64"/>
      </right>
      <top/>
      <bottom style="dashed">
        <color indexed="55"/>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55"/>
      </top>
      <bottom style="medium">
        <color indexed="64"/>
      </bottom>
      <diagonal/>
    </border>
    <border>
      <left style="thin">
        <color indexed="64"/>
      </left>
      <right style="medium">
        <color indexed="64"/>
      </right>
      <top style="dotted">
        <color theme="0" tint="-0.499984740745262"/>
      </top>
      <bottom style="medium">
        <color indexed="64"/>
      </bottom>
      <diagonal/>
    </border>
    <border>
      <left/>
      <right style="thin">
        <color indexed="64"/>
      </right>
      <top style="dotted">
        <color theme="0" tint="-0.499984740745262"/>
      </top>
      <bottom style="medium">
        <color indexed="64"/>
      </bottom>
      <diagonal/>
    </border>
    <border>
      <left style="medium">
        <color indexed="64"/>
      </left>
      <right style="double">
        <color indexed="64"/>
      </right>
      <top style="dotted">
        <color theme="0" tint="-0.499984740745262"/>
      </top>
      <bottom style="medium">
        <color indexed="64"/>
      </bottom>
      <diagonal/>
    </border>
    <border>
      <left style="thin">
        <color indexed="64"/>
      </left>
      <right style="medium">
        <color indexed="64"/>
      </right>
      <top style="dashed">
        <color indexed="55"/>
      </top>
      <bottom style="dotted">
        <color theme="0" tint="-0.499984740745262"/>
      </bottom>
      <diagonal/>
    </border>
    <border>
      <left/>
      <right style="thin">
        <color indexed="64"/>
      </right>
      <top style="dashed">
        <color indexed="55"/>
      </top>
      <bottom style="dotted">
        <color theme="0" tint="-0.499984740745262"/>
      </bottom>
      <diagonal/>
    </border>
    <border>
      <left style="medium">
        <color indexed="64"/>
      </left>
      <right style="double">
        <color indexed="64"/>
      </right>
      <top style="dashed">
        <color indexed="55"/>
      </top>
      <bottom style="dotted">
        <color theme="0" tint="-0.499984740745262"/>
      </bottom>
      <diagonal/>
    </border>
    <border>
      <left style="thin">
        <color indexed="64"/>
      </left>
      <right/>
      <top style="dashed">
        <color indexed="55"/>
      </top>
      <bottom style="dotted">
        <color theme="0" tint="-0.499984740745262"/>
      </bottom>
      <diagonal/>
    </border>
    <border>
      <left style="thin">
        <color indexed="64"/>
      </left>
      <right style="medium">
        <color indexed="64"/>
      </right>
      <top style="dotted">
        <color theme="1" tint="0.499984740745262"/>
      </top>
      <bottom/>
      <diagonal/>
    </border>
    <border>
      <left/>
      <right style="thin">
        <color indexed="64"/>
      </right>
      <top style="dotted">
        <color theme="1" tint="0.499984740745262"/>
      </top>
      <bottom/>
      <diagonal/>
    </border>
    <border>
      <left style="medium">
        <color indexed="64"/>
      </left>
      <right style="double">
        <color indexed="64"/>
      </right>
      <top style="dotted">
        <color theme="1" tint="0.499984740745262"/>
      </top>
      <bottom/>
      <diagonal/>
    </border>
    <border>
      <left style="thin">
        <color indexed="64"/>
      </left>
      <right/>
      <top style="dotted">
        <color theme="1" tint="0.499984740745262"/>
      </top>
      <bottom/>
      <diagonal/>
    </border>
    <border>
      <left style="thin">
        <color indexed="64"/>
      </left>
      <right style="medium">
        <color indexed="64"/>
      </right>
      <top style="dashed">
        <color indexed="55"/>
      </top>
      <bottom style="dotted">
        <color theme="1" tint="0.499984740745262"/>
      </bottom>
      <diagonal/>
    </border>
    <border>
      <left/>
      <right style="thin">
        <color indexed="64"/>
      </right>
      <top style="dashed">
        <color indexed="55"/>
      </top>
      <bottom style="dotted">
        <color theme="1" tint="0.499984740745262"/>
      </bottom>
      <diagonal/>
    </border>
    <border>
      <left style="medium">
        <color indexed="64"/>
      </left>
      <right style="double">
        <color indexed="64"/>
      </right>
      <top style="dashed">
        <color indexed="55"/>
      </top>
      <bottom style="dotted">
        <color theme="1" tint="0.499984740745262"/>
      </bottom>
      <diagonal/>
    </border>
    <border>
      <left style="thin">
        <color indexed="64"/>
      </left>
      <right/>
      <top style="dashed">
        <color indexed="55"/>
      </top>
      <bottom style="dotted">
        <color theme="1" tint="0.499984740745262"/>
      </bottom>
      <diagonal/>
    </border>
    <border>
      <left style="thin">
        <color indexed="64"/>
      </left>
      <right style="medium">
        <color indexed="64"/>
      </right>
      <top style="medium">
        <color indexed="64"/>
      </top>
      <bottom style="dashed">
        <color indexed="55"/>
      </bottom>
      <diagonal/>
    </border>
    <border>
      <left/>
      <right style="thin">
        <color indexed="64"/>
      </right>
      <top style="medium">
        <color indexed="64"/>
      </top>
      <bottom style="dashed">
        <color indexed="55"/>
      </bottom>
      <diagonal/>
    </border>
    <border>
      <left style="medium">
        <color indexed="64"/>
      </left>
      <right style="double">
        <color indexed="64"/>
      </right>
      <top style="medium">
        <color indexed="64"/>
      </top>
      <bottom style="dashed">
        <color indexed="55"/>
      </bottom>
      <diagonal/>
    </border>
    <border>
      <left style="thin">
        <color indexed="64"/>
      </left>
      <right/>
      <top style="medium">
        <color indexed="64"/>
      </top>
      <bottom style="dashed">
        <color indexed="55"/>
      </bottom>
      <diagonal/>
    </border>
    <border>
      <left style="medium">
        <color indexed="64"/>
      </left>
      <right style="double">
        <color indexed="64"/>
      </right>
      <top style="dashed">
        <color indexed="64"/>
      </top>
      <bottom style="dashed">
        <color indexed="55"/>
      </bottom>
      <diagonal/>
    </border>
    <border>
      <left style="thin">
        <color indexed="64"/>
      </left>
      <right/>
      <top style="dashed">
        <color indexed="64"/>
      </top>
      <bottom style="dashed">
        <color indexed="55"/>
      </bottom>
      <diagonal/>
    </border>
    <border>
      <left style="dotted">
        <color indexed="64"/>
      </left>
      <right style="double">
        <color indexed="64"/>
      </right>
      <top/>
      <bottom style="double">
        <color indexed="64"/>
      </bottom>
      <diagonal/>
    </border>
    <border>
      <left style="dashed">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dotted">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ashed">
        <color indexed="64"/>
      </left>
      <right style="double">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right style="dotted">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otted">
        <color indexed="64"/>
      </left>
      <right style="double">
        <color indexed="64"/>
      </right>
      <top style="dotted">
        <color indexed="64"/>
      </top>
      <bottom style="double">
        <color indexed="64"/>
      </bottom>
      <diagonal/>
    </border>
    <border>
      <left style="dashed">
        <color indexed="64"/>
      </left>
      <right style="double">
        <color indexed="64"/>
      </right>
      <top style="thin">
        <color indexed="64"/>
      </top>
      <bottom style="double">
        <color indexed="64"/>
      </bottom>
      <diagonal/>
    </border>
    <border>
      <left style="dashed">
        <color indexed="64"/>
      </left>
      <right style="double">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thin">
        <color indexed="64"/>
      </left>
      <right style="dashed">
        <color indexed="64"/>
      </right>
      <top style="dotted">
        <color indexed="64"/>
      </top>
      <bottom style="double">
        <color indexed="64"/>
      </bottom>
      <diagonal/>
    </border>
    <border>
      <left style="dotted">
        <color indexed="64"/>
      </left>
      <right style="double">
        <color indexed="64"/>
      </right>
      <top style="thin">
        <color indexed="64"/>
      </top>
      <bottom/>
      <diagonal/>
    </border>
    <border>
      <left style="dashed">
        <color indexed="64"/>
      </left>
      <right style="double">
        <color indexed="64"/>
      </right>
      <top style="thin">
        <color indexed="64"/>
      </top>
      <bottom/>
      <diagonal/>
    </border>
    <border>
      <left style="double">
        <color indexed="64"/>
      </left>
      <right style="thin">
        <color indexed="64"/>
      </right>
      <top style="dotted">
        <color indexed="64"/>
      </top>
      <bottom style="double">
        <color indexed="64"/>
      </bottom>
      <diagonal/>
    </border>
    <border>
      <left style="dotted">
        <color indexed="64"/>
      </left>
      <right style="double">
        <color indexed="64"/>
      </right>
      <top/>
      <bottom style="thin">
        <color indexed="64"/>
      </bottom>
      <diagonal/>
    </border>
    <border>
      <left style="dashed">
        <color indexed="64"/>
      </left>
      <right style="double">
        <color indexed="64"/>
      </right>
      <top/>
      <bottom style="thin">
        <color indexed="64"/>
      </bottom>
      <diagonal/>
    </border>
    <border>
      <left style="thin">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ashDotDot">
        <color indexed="64"/>
      </left>
      <right style="dashDotDot">
        <color indexed="64"/>
      </right>
      <top style="thin">
        <color indexed="64"/>
      </top>
      <bottom style="dotted">
        <color indexed="64"/>
      </bottom>
      <diagonal/>
    </border>
    <border>
      <left/>
      <right style="double">
        <color indexed="64"/>
      </right>
      <top style="dotted">
        <color indexed="64"/>
      </top>
      <bottom style="dotted">
        <color indexed="64"/>
      </bottom>
      <diagonal/>
    </border>
    <border>
      <left style="dashDotDot">
        <color indexed="64"/>
      </left>
      <right style="dashDotDot">
        <color indexed="64"/>
      </right>
      <top style="dotted">
        <color indexed="64"/>
      </top>
      <bottom style="dotted">
        <color indexed="64"/>
      </bottom>
      <diagonal/>
    </border>
    <border>
      <left style="thin">
        <color indexed="64"/>
      </left>
      <right/>
      <top style="dotted">
        <color indexed="64"/>
      </top>
      <bottom style="dashDotDot">
        <color indexed="64"/>
      </bottom>
      <diagonal/>
    </border>
    <border>
      <left/>
      <right style="double">
        <color indexed="64"/>
      </right>
      <top style="dotted">
        <color indexed="64"/>
      </top>
      <bottom style="dashDotDot">
        <color indexed="64"/>
      </bottom>
      <diagonal/>
    </border>
    <border>
      <left style="dashDotDot">
        <color indexed="64"/>
      </left>
      <right style="dashDotDot">
        <color indexed="64"/>
      </right>
      <top style="dotted">
        <color indexed="64"/>
      </top>
      <bottom style="dashDotDot">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ashDotDot">
        <color indexed="64"/>
      </bottom>
      <diagonal/>
    </border>
    <border>
      <left style="thin">
        <color indexed="64"/>
      </left>
      <right style="thin">
        <color indexed="64"/>
      </right>
      <top style="dotted">
        <color indexed="64"/>
      </top>
      <bottom style="dashDotDot">
        <color indexed="64"/>
      </bottom>
      <diagonal/>
    </border>
    <border>
      <left style="double">
        <color indexed="64"/>
      </left>
      <right style="thin">
        <color indexed="64"/>
      </right>
      <top style="dashDotDot">
        <color indexed="64"/>
      </top>
      <bottom style="double">
        <color indexed="64"/>
      </bottom>
      <diagonal/>
    </border>
    <border>
      <left style="thin">
        <color indexed="64"/>
      </left>
      <right style="thin">
        <color indexed="64"/>
      </right>
      <top style="dashDotDot">
        <color indexed="64"/>
      </top>
      <bottom style="double">
        <color indexed="64"/>
      </bottom>
      <diagonal/>
    </border>
    <border>
      <left style="dashDotDot">
        <color indexed="64"/>
      </left>
      <right style="double">
        <color indexed="64"/>
      </right>
      <top style="thin">
        <color indexed="64"/>
      </top>
      <bottom style="double">
        <color indexed="64"/>
      </bottom>
      <diagonal/>
    </border>
    <border>
      <left style="dashDotDot">
        <color indexed="64"/>
      </left>
      <right style="double">
        <color indexed="64"/>
      </right>
      <top style="thin">
        <color indexed="64"/>
      </top>
      <bottom style="dotted">
        <color indexed="64"/>
      </bottom>
      <diagonal/>
    </border>
    <border>
      <left style="dashDotDot">
        <color indexed="64"/>
      </left>
      <right style="double">
        <color indexed="64"/>
      </right>
      <top style="dotted">
        <color indexed="64"/>
      </top>
      <bottom style="dotted">
        <color indexed="64"/>
      </bottom>
      <diagonal/>
    </border>
    <border>
      <left style="dashDotDot">
        <color indexed="64"/>
      </left>
      <right style="double">
        <color indexed="64"/>
      </right>
      <top style="dotted">
        <color indexed="64"/>
      </top>
      <bottom style="dashDotDot">
        <color indexed="64"/>
      </bottom>
      <diagonal/>
    </border>
    <border>
      <left style="dashDotDot">
        <color indexed="64"/>
      </left>
      <right style="double">
        <color indexed="64"/>
      </right>
      <top style="dashDotDot">
        <color indexed="64"/>
      </top>
      <bottom style="double">
        <color indexed="64"/>
      </bottom>
      <diagonal/>
    </border>
    <border>
      <left/>
      <right style="medium">
        <color indexed="64"/>
      </right>
      <top style="dotted">
        <color indexed="64"/>
      </top>
      <bottom style="dashDotDot">
        <color indexed="64"/>
      </bottom>
      <diagonal/>
    </border>
    <border>
      <left/>
      <right style="dashDotDot">
        <color indexed="64"/>
      </right>
      <top style="dashDotDot">
        <color indexed="64"/>
      </top>
      <bottom style="double">
        <color indexed="64"/>
      </bottom>
      <diagonal/>
    </border>
    <border>
      <left style="thin">
        <color indexed="64"/>
      </left>
      <right style="thin">
        <color indexed="64"/>
      </right>
      <top style="dashed">
        <color indexed="64"/>
      </top>
      <bottom style="double">
        <color indexed="64"/>
      </bottom>
      <diagonal/>
    </border>
    <border>
      <left/>
      <right style="double">
        <color indexed="64"/>
      </right>
      <top/>
      <bottom style="dotted">
        <color indexed="64"/>
      </bottom>
      <diagonal/>
    </border>
    <border>
      <left style="dashDotDot">
        <color indexed="64"/>
      </left>
      <right style="dashDotDot">
        <color indexed="64"/>
      </right>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dashDotDot">
        <color indexed="64"/>
      </left>
      <right style="double">
        <color indexed="64"/>
      </right>
      <top/>
      <bottom style="dotted">
        <color indexed="64"/>
      </bottom>
      <diagonal/>
    </border>
    <border>
      <left/>
      <right style="medium">
        <color indexed="64"/>
      </right>
      <top/>
      <bottom style="dotted">
        <color indexed="64"/>
      </bottom>
      <diagonal/>
    </border>
    <border>
      <left style="thin">
        <color indexed="64"/>
      </left>
      <right style="double">
        <color indexed="64"/>
      </right>
      <top style="thin">
        <color indexed="64"/>
      </top>
      <bottom style="double">
        <color indexed="64"/>
      </bottom>
      <diagonal/>
    </border>
    <border>
      <left style="dashDotDot">
        <color indexed="64"/>
      </left>
      <right style="dashDotDot">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ashDotDot">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double">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double">
        <color indexed="64"/>
      </bottom>
      <diagonal/>
    </border>
    <border>
      <left style="thin">
        <color indexed="64"/>
      </left>
      <right style="double">
        <color indexed="64"/>
      </right>
      <top/>
      <bottom style="double">
        <color indexed="64"/>
      </bottom>
      <diagonal/>
    </border>
    <border>
      <left style="medium">
        <color theme="1"/>
      </left>
      <right style="thin">
        <color theme="1"/>
      </right>
      <top style="medium">
        <color theme="1"/>
      </top>
      <bottom style="dotted">
        <color theme="1"/>
      </bottom>
      <diagonal/>
    </border>
    <border>
      <left style="thin">
        <color theme="1"/>
      </left>
      <right style="thin">
        <color theme="1"/>
      </right>
      <top style="medium">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medium">
        <color theme="1"/>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dashDotDot">
        <color indexed="64"/>
      </right>
      <top style="thin">
        <color indexed="64"/>
      </top>
      <bottom style="double">
        <color indexed="64"/>
      </bottom>
      <diagonal/>
    </border>
    <border>
      <left style="medium">
        <color theme="1"/>
      </left>
      <right style="thin">
        <color theme="1"/>
      </right>
      <top/>
      <bottom style="thin">
        <color theme="1"/>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dotted">
        <color theme="1" tint="0.499984740745262"/>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double">
        <color indexed="64"/>
      </right>
      <top style="dotted">
        <color theme="0" tint="-0.499984740745262"/>
      </top>
      <bottom/>
      <diagonal/>
    </border>
    <border>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style="thin">
        <color indexed="64"/>
      </left>
      <right/>
      <top style="thick">
        <color indexed="64"/>
      </top>
      <bottom/>
      <diagonal/>
    </border>
    <border>
      <left style="thin">
        <color indexed="64"/>
      </left>
      <right style="medium">
        <color indexed="64"/>
      </right>
      <top style="thick">
        <color indexed="64"/>
      </top>
      <bottom style="medium">
        <color indexed="64"/>
      </bottom>
      <diagonal/>
    </border>
    <border>
      <left style="medium">
        <color indexed="64"/>
      </left>
      <right style="double">
        <color indexed="64"/>
      </right>
      <top style="thick">
        <color indexed="64"/>
      </top>
      <bottom style="medium">
        <color indexed="64"/>
      </bottom>
      <diagonal/>
    </border>
    <border>
      <left/>
      <right style="thin">
        <color indexed="64"/>
      </right>
      <top style="thick">
        <color indexed="64"/>
      </top>
      <bottom style="medium">
        <color indexed="64"/>
      </bottom>
      <diagonal/>
    </border>
    <border>
      <left style="medium">
        <color indexed="64"/>
      </left>
      <right style="double">
        <color indexed="64"/>
      </right>
      <top/>
      <bottom/>
      <diagonal/>
    </border>
    <border>
      <left style="thin">
        <color indexed="64"/>
      </left>
      <right style="medium">
        <color indexed="64"/>
      </right>
      <top/>
      <bottom/>
      <diagonal/>
    </border>
    <border>
      <left style="thin">
        <color indexed="64"/>
      </left>
      <right/>
      <top/>
      <bottom/>
      <diagonal/>
    </border>
  </borders>
  <cellStyleXfs count="19">
    <xf numFmtId="0" fontId="0" fillId="0" borderId="0"/>
    <xf numFmtId="8" fontId="2"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43" fontId="26" fillId="0" borderId="0" applyFont="0" applyFill="0" applyBorder="0" applyAlignment="0" applyProtection="0"/>
    <xf numFmtId="0" fontId="1" fillId="0" borderId="0"/>
    <xf numFmtId="44" fontId="1" fillId="0" borderId="0" applyFont="0" applyFill="0" applyBorder="0" applyAlignment="0" applyProtection="0"/>
    <xf numFmtId="9" fontId="2" fillId="0" borderId="0" applyFont="0" applyFill="0" applyBorder="0" applyAlignment="0" applyProtection="0"/>
    <xf numFmtId="8" fontId="2" fillId="0" borderId="0" applyFont="0" applyFill="0" applyBorder="0" applyAlignment="0" applyProtection="0"/>
    <xf numFmtId="9" fontId="26" fillId="0" borderId="0" applyFont="0" applyFill="0" applyBorder="0" applyAlignment="0" applyProtection="0"/>
    <xf numFmtId="8" fontId="26" fillId="0" borderId="0" applyFont="0" applyFill="0" applyBorder="0" applyAlignment="0" applyProtection="0"/>
    <xf numFmtId="40" fontId="2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0" fontId="2" fillId="0" borderId="0" applyFont="0" applyFill="0" applyBorder="0" applyAlignment="0" applyProtection="0"/>
    <xf numFmtId="43" fontId="4" fillId="0" borderId="0" applyFont="0" applyFill="0" applyBorder="0" applyAlignment="0" applyProtection="0"/>
    <xf numFmtId="0" fontId="78" fillId="0" borderId="0" applyNumberFormat="0" applyFill="0" applyBorder="0" applyAlignment="0" applyProtection="0"/>
  </cellStyleXfs>
  <cellXfs count="922">
    <xf numFmtId="0" fontId="0" fillId="0" borderId="0" xfId="0"/>
    <xf numFmtId="0" fontId="4" fillId="0" borderId="0" xfId="0" applyFont="1"/>
    <xf numFmtId="0" fontId="4" fillId="0" borderId="0" xfId="0" applyFont="1" applyAlignment="1">
      <alignment horizontal="center"/>
    </xf>
    <xf numFmtId="38" fontId="4" fillId="0" borderId="0" xfId="0" applyNumberFormat="1" applyFont="1"/>
    <xf numFmtId="0" fontId="5" fillId="0" borderId="0" xfId="0" applyFont="1"/>
    <xf numFmtId="0" fontId="4" fillId="0" borderId="0" xfId="0" applyFont="1" applyFill="1"/>
    <xf numFmtId="0" fontId="4" fillId="0" borderId="0" xfId="0" applyFont="1" applyAlignment="1">
      <alignment horizontal="right"/>
    </xf>
    <xf numFmtId="3" fontId="4" fillId="0" borderId="0" xfId="0" applyNumberFormat="1" applyFont="1"/>
    <xf numFmtId="165" fontId="4" fillId="0" borderId="0" xfId="0" applyNumberFormat="1" applyFont="1"/>
    <xf numFmtId="0" fontId="10" fillId="0" borderId="0" xfId="0" applyFont="1" applyBorder="1"/>
    <xf numFmtId="0" fontId="10" fillId="0" borderId="0" xfId="0" applyFont="1" applyFill="1" applyBorder="1"/>
    <xf numFmtId="0" fontId="10" fillId="0" borderId="0" xfId="0" applyFont="1" applyBorder="1" applyAlignment="1">
      <alignment horizontal="center"/>
    </xf>
    <xf numFmtId="0" fontId="8" fillId="0" borderId="0" xfId="0" applyFont="1" applyBorder="1" applyAlignment="1"/>
    <xf numFmtId="0" fontId="9" fillId="0" borderId="3" xfId="0" applyFont="1" applyBorder="1" applyAlignment="1">
      <alignment horizontal="center" vertical="center"/>
    </xf>
    <xf numFmtId="0" fontId="10" fillId="0" borderId="0" xfId="0" applyFont="1" applyBorder="1" applyAlignment="1">
      <alignment vertical="center"/>
    </xf>
    <xf numFmtId="0" fontId="10" fillId="0" borderId="4" xfId="0" applyNumberFormat="1" applyFont="1" applyFill="1" applyBorder="1" applyAlignment="1">
      <alignment horizontal="center" vertical="center"/>
    </xf>
    <xf numFmtId="3" fontId="10" fillId="0" borderId="4" xfId="0" applyNumberFormat="1" applyFont="1" applyBorder="1" applyAlignment="1">
      <alignment vertical="center"/>
    </xf>
    <xf numFmtId="6" fontId="10" fillId="0" borderId="4" xfId="1" applyNumberFormat="1" applyFont="1" applyFill="1" applyBorder="1" applyAlignment="1">
      <alignment vertical="center"/>
    </xf>
    <xf numFmtId="3" fontId="10" fillId="0" borderId="4" xfId="0" applyNumberFormat="1" applyFont="1" applyFill="1" applyBorder="1" applyAlignment="1">
      <alignment vertical="center"/>
    </xf>
    <xf numFmtId="3" fontId="10" fillId="0" borderId="0" xfId="0" applyNumberFormat="1" applyFont="1" applyFill="1" applyBorder="1" applyAlignment="1">
      <alignment vertical="center"/>
    </xf>
    <xf numFmtId="0" fontId="10" fillId="0" borderId="4" xfId="0" applyFont="1" applyFill="1" applyBorder="1" applyAlignment="1">
      <alignment horizontal="center" vertical="center"/>
    </xf>
    <xf numFmtId="0" fontId="10" fillId="0" borderId="0" xfId="0" applyFont="1" applyFill="1" applyBorder="1" applyAlignment="1">
      <alignment vertical="center"/>
    </xf>
    <xf numFmtId="0" fontId="10" fillId="0" borderId="4" xfId="0" applyFont="1" applyBorder="1" applyAlignment="1">
      <alignment horizontal="center" vertical="center"/>
    </xf>
    <xf numFmtId="6" fontId="10" fillId="0" borderId="4" xfId="1" applyNumberFormat="1" applyFont="1" applyBorder="1" applyAlignment="1">
      <alignment vertical="center"/>
    </xf>
    <xf numFmtId="6" fontId="10" fillId="0" borderId="0" xfId="0" applyNumberFormat="1" applyFont="1" applyBorder="1" applyAlignment="1">
      <alignment vertical="center"/>
    </xf>
    <xf numFmtId="0" fontId="10" fillId="0" borderId="5" xfId="0" applyFont="1" applyBorder="1" applyAlignment="1">
      <alignment horizontal="center" vertical="center"/>
    </xf>
    <xf numFmtId="3" fontId="10" fillId="0" borderId="5" xfId="0" applyNumberFormat="1" applyFont="1" applyFill="1" applyBorder="1" applyAlignment="1">
      <alignment vertical="center"/>
    </xf>
    <xf numFmtId="6" fontId="10" fillId="0" borderId="5" xfId="1" applyNumberFormat="1" applyFont="1" applyBorder="1" applyAlignment="1">
      <alignment vertical="center"/>
    </xf>
    <xf numFmtId="0" fontId="10" fillId="0" borderId="6" xfId="0" applyFont="1" applyBorder="1" applyAlignment="1">
      <alignment vertical="center"/>
    </xf>
    <xf numFmtId="6" fontId="10" fillId="0" borderId="0" xfId="1" applyNumberFormat="1" applyFont="1" applyFill="1" applyBorder="1" applyAlignment="1">
      <alignment vertical="center"/>
    </xf>
    <xf numFmtId="3" fontId="4" fillId="0" borderId="0" xfId="0" applyNumberFormat="1" applyFont="1" applyAlignment="1">
      <alignment horizontal="center"/>
    </xf>
    <xf numFmtId="3" fontId="17" fillId="0" borderId="0" xfId="0" applyNumberFormat="1" applyFont="1" applyAlignment="1">
      <alignment horizontal="right"/>
    </xf>
    <xf numFmtId="3" fontId="18" fillId="0" borderId="0" xfId="0" applyNumberFormat="1" applyFont="1" applyAlignment="1">
      <alignment horizontal="right"/>
    </xf>
    <xf numFmtId="0" fontId="19" fillId="0" borderId="0" xfId="0" applyFont="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horizontal="right"/>
    </xf>
    <xf numFmtId="3" fontId="17" fillId="0" borderId="0" xfId="0" applyNumberFormat="1" applyFont="1" applyBorder="1" applyAlignment="1">
      <alignment horizontal="right"/>
    </xf>
    <xf numFmtId="38" fontId="17" fillId="0" borderId="7" xfId="0" applyNumberFormat="1" applyFont="1" applyBorder="1" applyAlignment="1">
      <alignment horizontal="right"/>
    </xf>
    <xf numFmtId="0" fontId="5" fillId="0" borderId="0" xfId="0" applyFont="1" applyAlignment="1">
      <alignment horizontal="center" vertical="top"/>
    </xf>
    <xf numFmtId="0" fontId="15" fillId="0" borderId="0" xfId="0" applyFont="1" applyAlignment="1">
      <alignment horizontal="center"/>
    </xf>
    <xf numFmtId="38" fontId="17" fillId="0" borderId="0" xfId="0" applyNumberFormat="1" applyFont="1" applyBorder="1" applyAlignment="1">
      <alignment horizontal="right"/>
    </xf>
    <xf numFmtId="3" fontId="17" fillId="0" borderId="8" xfId="0" applyNumberFormat="1" applyFont="1" applyBorder="1" applyAlignment="1">
      <alignment horizontal="right"/>
    </xf>
    <xf numFmtId="3" fontId="17" fillId="0" borderId="9" xfId="0" applyNumberFormat="1" applyFont="1" applyBorder="1" applyAlignment="1">
      <alignment horizontal="right"/>
    </xf>
    <xf numFmtId="3" fontId="17" fillId="0" borderId="8" xfId="0" applyNumberFormat="1" applyFont="1" applyFill="1" applyBorder="1" applyAlignment="1">
      <alignment horizontal="right"/>
    </xf>
    <xf numFmtId="0" fontId="4" fillId="0" borderId="0" xfId="0" applyFont="1" applyFill="1" applyBorder="1" applyAlignment="1">
      <alignment horizontal="right"/>
    </xf>
    <xf numFmtId="0" fontId="0" fillId="0" borderId="0" xfId="0" applyFill="1"/>
    <xf numFmtId="3" fontId="0" fillId="0" borderId="0" xfId="0" applyNumberFormat="1"/>
    <xf numFmtId="3" fontId="17" fillId="0" borderId="10" xfId="0" applyNumberFormat="1" applyFont="1" applyBorder="1" applyAlignment="1">
      <alignment horizontal="right"/>
    </xf>
    <xf numFmtId="0" fontId="4" fillId="0" borderId="0" xfId="0" applyFont="1" applyFill="1" applyBorder="1"/>
    <xf numFmtId="0" fontId="4" fillId="0" borderId="0" xfId="0" applyFont="1" applyAlignment="1">
      <alignment wrapText="1"/>
    </xf>
    <xf numFmtId="0" fontId="11" fillId="0" borderId="0" xfId="0" applyFont="1" applyAlignment="1">
      <alignment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4" fontId="11" fillId="0" borderId="20" xfId="0" applyNumberFormat="1" applyFont="1" applyBorder="1" applyAlignment="1">
      <alignment horizontal="center" vertical="center"/>
    </xf>
    <xf numFmtId="7" fontId="11" fillId="0" borderId="20" xfId="0" applyNumberFormat="1" applyFont="1" applyBorder="1" applyAlignment="1">
      <alignment horizontal="center" vertical="center"/>
    </xf>
    <xf numFmtId="0" fontId="9" fillId="0" borderId="0" xfId="0" applyFont="1" applyBorder="1" applyAlignment="1">
      <alignment vertical="center"/>
    </xf>
    <xf numFmtId="4" fontId="11" fillId="0" borderId="2" xfId="0" applyNumberFormat="1" applyFont="1" applyBorder="1" applyAlignment="1">
      <alignment horizontal="center" vertical="center"/>
    </xf>
    <xf numFmtId="7" fontId="11" fillId="0" borderId="2" xfId="0" applyNumberFormat="1" applyFont="1" applyBorder="1" applyAlignment="1">
      <alignment horizontal="center" vertical="center"/>
    </xf>
    <xf numFmtId="3" fontId="9" fillId="0" borderId="4" xfId="0" applyNumberFormat="1" applyFont="1" applyBorder="1" applyAlignment="1">
      <alignment vertical="center"/>
    </xf>
    <xf numFmtId="6" fontId="9" fillId="0" borderId="4" xfId="0" applyNumberFormat="1" applyFont="1" applyBorder="1" applyAlignment="1">
      <alignment vertical="center"/>
    </xf>
    <xf numFmtId="3" fontId="9" fillId="0" borderId="4" xfId="0" applyNumberFormat="1" applyFont="1" applyFill="1" applyBorder="1" applyAlignment="1">
      <alignment vertical="center"/>
    </xf>
    <xf numFmtId="6" fontId="9" fillId="0" borderId="4" xfId="0" applyNumberFormat="1" applyFont="1" applyFill="1" applyBorder="1" applyAlignment="1">
      <alignment vertical="center"/>
    </xf>
    <xf numFmtId="3" fontId="9" fillId="0" borderId="5" xfId="0" applyNumberFormat="1" applyFont="1" applyBorder="1" applyAlignment="1">
      <alignment vertical="center"/>
    </xf>
    <xf numFmtId="6" fontId="9" fillId="0" borderId="5" xfId="0" applyNumberFormat="1" applyFont="1" applyBorder="1" applyAlignment="1">
      <alignment vertical="center"/>
    </xf>
    <xf numFmtId="3" fontId="5" fillId="0" borderId="0" xfId="0" applyNumberFormat="1" applyFont="1"/>
    <xf numFmtId="6" fontId="4" fillId="0" borderId="0" xfId="1" applyNumberFormat="1" applyFont="1"/>
    <xf numFmtId="6" fontId="4" fillId="0" borderId="0" xfId="0" applyNumberFormat="1" applyFont="1"/>
    <xf numFmtId="164" fontId="21" fillId="0" borderId="0" xfId="0" applyNumberFormat="1" applyFont="1" applyAlignment="1">
      <alignment horizontal="center"/>
    </xf>
    <xf numFmtId="3" fontId="12" fillId="3" borderId="22" xfId="0" applyNumberFormat="1" applyFont="1" applyFill="1" applyBorder="1" applyAlignment="1">
      <alignment horizontal="center" vertical="top"/>
    </xf>
    <xf numFmtId="0" fontId="12" fillId="0" borderId="22" xfId="0" applyFont="1" applyBorder="1" applyAlignment="1">
      <alignment horizontal="center" vertical="top"/>
    </xf>
    <xf numFmtId="3" fontId="12" fillId="3" borderId="21" xfId="0" applyNumberFormat="1" applyFont="1" applyFill="1" applyBorder="1" applyAlignment="1">
      <alignment horizontal="center" vertical="top"/>
    </xf>
    <xf numFmtId="0" fontId="5" fillId="0" borderId="23" xfId="0" applyFont="1" applyBorder="1" applyAlignment="1">
      <alignment horizontal="center" vertical="top"/>
    </xf>
    <xf numFmtId="3" fontId="11" fillId="0" borderId="24" xfId="0" applyNumberFormat="1" applyFont="1" applyBorder="1" applyAlignment="1">
      <alignment horizontal="left"/>
    </xf>
    <xf numFmtId="0" fontId="11" fillId="5" borderId="25" xfId="0" applyFont="1" applyFill="1" applyBorder="1" applyAlignment="1">
      <alignment horizontal="center" vertical="center"/>
    </xf>
    <xf numFmtId="3" fontId="10" fillId="5" borderId="25" xfId="0" applyNumberFormat="1" applyFont="1" applyFill="1" applyBorder="1" applyAlignment="1">
      <alignment vertical="center"/>
    </xf>
    <xf numFmtId="6" fontId="10" fillId="5" borderId="25" xfId="1" applyNumberFormat="1" applyFont="1" applyFill="1" applyBorder="1" applyAlignment="1">
      <alignment vertical="center"/>
    </xf>
    <xf numFmtId="0" fontId="11" fillId="5" borderId="2" xfId="0" applyFont="1" applyFill="1" applyBorder="1" applyAlignment="1">
      <alignment horizontal="center" vertical="center"/>
    </xf>
    <xf numFmtId="3" fontId="10" fillId="5" borderId="2" xfId="0" applyNumberFormat="1" applyFont="1" applyFill="1" applyBorder="1" applyAlignment="1">
      <alignment vertical="center"/>
    </xf>
    <xf numFmtId="6" fontId="10" fillId="5" borderId="2" xfId="1" applyNumberFormat="1" applyFont="1" applyFill="1" applyBorder="1" applyAlignment="1">
      <alignment vertical="center"/>
    </xf>
    <xf numFmtId="3" fontId="10" fillId="8" borderId="25" xfId="0" applyNumberFormat="1" applyFont="1" applyFill="1" applyBorder="1" applyAlignment="1">
      <alignment vertical="center"/>
    </xf>
    <xf numFmtId="6" fontId="10" fillId="8" borderId="25" xfId="1" applyNumberFormat="1" applyFont="1" applyFill="1" applyBorder="1" applyAlignment="1">
      <alignment vertical="center"/>
    </xf>
    <xf numFmtId="3" fontId="10" fillId="8" borderId="2" xfId="0" applyNumberFormat="1" applyFont="1" applyFill="1" applyBorder="1" applyAlignment="1">
      <alignment vertical="center"/>
    </xf>
    <xf numFmtId="6" fontId="10" fillId="8" borderId="2" xfId="1" applyNumberFormat="1" applyFont="1" applyFill="1" applyBorder="1" applyAlignment="1">
      <alignment vertical="center"/>
    </xf>
    <xf numFmtId="3" fontId="9" fillId="9" borderId="25" xfId="0" applyNumberFormat="1" applyFont="1" applyFill="1" applyBorder="1" applyAlignment="1">
      <alignment vertical="center"/>
    </xf>
    <xf numFmtId="6" fontId="9" fillId="9" borderId="25" xfId="0" applyNumberFormat="1" applyFont="1" applyFill="1" applyBorder="1" applyAlignment="1">
      <alignment vertical="center"/>
    </xf>
    <xf numFmtId="3" fontId="9" fillId="9" borderId="2" xfId="0" applyNumberFormat="1" applyFont="1" applyFill="1" applyBorder="1" applyAlignment="1">
      <alignment vertical="center"/>
    </xf>
    <xf numFmtId="6" fontId="9" fillId="9" borderId="2" xfId="0" applyNumberFormat="1" applyFont="1" applyFill="1" applyBorder="1" applyAlignment="1">
      <alignment vertical="center"/>
    </xf>
    <xf numFmtId="6" fontId="10" fillId="0" borderId="0" xfId="0" applyNumberFormat="1" applyFont="1" applyFill="1" applyBorder="1"/>
    <xf numFmtId="6" fontId="10" fillId="0" borderId="0" xfId="0" applyNumberFormat="1" applyFont="1" applyBorder="1"/>
    <xf numFmtId="0" fontId="4" fillId="0" borderId="0" xfId="0" applyFont="1" applyAlignment="1">
      <alignment horizontal="left"/>
    </xf>
    <xf numFmtId="3" fontId="18" fillId="0" borderId="0" xfId="0" applyNumberFormat="1" applyFont="1" applyAlignment="1">
      <alignment horizontal="left"/>
    </xf>
    <xf numFmtId="0" fontId="19" fillId="0" borderId="0" xfId="0" applyFont="1" applyAlignment="1">
      <alignment horizontal="left"/>
    </xf>
    <xf numFmtId="164" fontId="21" fillId="0" borderId="0" xfId="0" applyNumberFormat="1" applyFont="1" applyAlignment="1">
      <alignment horizontal="left"/>
    </xf>
    <xf numFmtId="0" fontId="20" fillId="0" borderId="29" xfId="0" applyFont="1" applyBorder="1" applyAlignment="1">
      <alignment horizontal="center" vertical="center"/>
    </xf>
    <xf numFmtId="0" fontId="4" fillId="0" borderId="30" xfId="0" applyFont="1" applyBorder="1" applyAlignment="1">
      <alignment horizontal="center" vertical="center"/>
    </xf>
    <xf numFmtId="49" fontId="4" fillId="0" borderId="31" xfId="0" applyNumberFormat="1" applyFont="1" applyBorder="1" applyAlignment="1">
      <alignment horizontal="center" vertical="center"/>
    </xf>
    <xf numFmtId="0" fontId="20" fillId="0" borderId="32" xfId="0" applyFont="1" applyBorder="1" applyAlignment="1">
      <alignment horizontal="center" vertical="center"/>
    </xf>
    <xf numFmtId="0" fontId="4" fillId="0" borderId="33" xfId="0" applyFont="1" applyBorder="1" applyAlignment="1">
      <alignment horizontal="center" vertical="center"/>
    </xf>
    <xf numFmtId="49" fontId="4" fillId="0" borderId="34" xfId="0" applyNumberFormat="1" applyFont="1" applyBorder="1" applyAlignment="1">
      <alignment horizontal="center" vertical="center"/>
    </xf>
    <xf numFmtId="3" fontId="4" fillId="0" borderId="35" xfId="0" applyNumberFormat="1" applyFont="1" applyBorder="1" applyAlignment="1">
      <alignment horizontal="right" vertical="center"/>
    </xf>
    <xf numFmtId="3" fontId="4" fillId="0" borderId="35" xfId="0" applyNumberFormat="1" applyFont="1" applyFill="1" applyBorder="1" applyAlignment="1">
      <alignment horizontal="right" vertical="center"/>
    </xf>
    <xf numFmtId="3" fontId="15" fillId="0" borderId="35" xfId="0" applyNumberFormat="1" applyFont="1" applyBorder="1" applyAlignment="1">
      <alignment horizontal="right" vertical="center"/>
    </xf>
    <xf numFmtId="3" fontId="4" fillId="0" borderId="33" xfId="0" applyNumberFormat="1" applyFont="1" applyBorder="1" applyAlignment="1">
      <alignment horizontal="right" vertical="center"/>
    </xf>
    <xf numFmtId="0" fontId="4" fillId="0" borderId="0" xfId="0" applyFont="1" applyAlignment="1">
      <alignment horizontal="left" vertical="center"/>
    </xf>
    <xf numFmtId="49" fontId="11" fillId="5" borderId="2" xfId="0" applyNumberFormat="1" applyFont="1" applyFill="1" applyBorder="1" applyAlignment="1">
      <alignment horizontal="center" wrapText="1"/>
    </xf>
    <xf numFmtId="49" fontId="4" fillId="0" borderId="0" xfId="0" applyNumberFormat="1" applyFont="1" applyBorder="1" applyAlignment="1">
      <alignment horizontal="center"/>
    </xf>
    <xf numFmtId="49" fontId="0" fillId="0" borderId="0" xfId="0" applyNumberFormat="1"/>
    <xf numFmtId="0" fontId="0" fillId="0" borderId="0" xfId="0" applyBorder="1"/>
    <xf numFmtId="0" fontId="22" fillId="13" borderId="42" xfId="4" applyFont="1" applyFill="1" applyBorder="1" applyAlignment="1">
      <alignment horizontal="center"/>
    </xf>
    <xf numFmtId="0" fontId="22" fillId="0" borderId="43" xfId="4" applyFont="1" applyFill="1" applyBorder="1" applyAlignment="1">
      <alignment wrapText="1"/>
    </xf>
    <xf numFmtId="0" fontId="22" fillId="0" borderId="44" xfId="4" applyFont="1" applyFill="1" applyBorder="1" applyAlignment="1">
      <alignment wrapText="1"/>
    </xf>
    <xf numFmtId="0" fontId="22" fillId="0" borderId="0" xfId="4" applyFont="1" applyFill="1" applyBorder="1" applyAlignment="1">
      <alignment wrapText="1"/>
    </xf>
    <xf numFmtId="0" fontId="27" fillId="0" borderId="0" xfId="0" applyFont="1" applyAlignment="1">
      <alignment horizont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49" fontId="27" fillId="0" borderId="34" xfId="0" applyNumberFormat="1" applyFont="1" applyBorder="1" applyAlignment="1">
      <alignment horizontal="center" vertical="center"/>
    </xf>
    <xf numFmtId="3" fontId="27" fillId="0" borderId="35" xfId="0" applyNumberFormat="1" applyFont="1" applyBorder="1" applyAlignment="1">
      <alignment horizontal="right" vertical="center"/>
    </xf>
    <xf numFmtId="3" fontId="27" fillId="0" borderId="35" xfId="0" applyNumberFormat="1" applyFont="1" applyFill="1" applyBorder="1" applyAlignment="1">
      <alignment horizontal="right" vertical="center"/>
    </xf>
    <xf numFmtId="3" fontId="27" fillId="0" borderId="33" xfId="0" applyNumberFormat="1" applyFont="1" applyBorder="1" applyAlignment="1">
      <alignment horizontal="right" vertical="center"/>
    </xf>
    <xf numFmtId="165" fontId="11" fillId="7" borderId="26" xfId="0" applyNumberFormat="1" applyFont="1" applyFill="1" applyBorder="1" applyAlignment="1">
      <alignment horizontal="center" wrapText="1"/>
    </xf>
    <xf numFmtId="165" fontId="0" fillId="0" borderId="0" xfId="0" applyNumberFormat="1"/>
    <xf numFmtId="49" fontId="4" fillId="0" borderId="0" xfId="0" applyNumberFormat="1" applyFont="1" applyBorder="1" applyAlignment="1">
      <alignment horizontal="left"/>
    </xf>
    <xf numFmtId="6" fontId="28" fillId="0" borderId="0" xfId="0" applyNumberFormat="1" applyFont="1" applyFill="1" applyBorder="1" applyAlignment="1">
      <alignment vertical="center"/>
    </xf>
    <xf numFmtId="3" fontId="5" fillId="3" borderId="22" xfId="0" applyNumberFormat="1" applyFont="1" applyFill="1" applyBorder="1" applyAlignment="1">
      <alignment horizontal="center" vertical="top"/>
    </xf>
    <xf numFmtId="0" fontId="4" fillId="0" borderId="29" xfId="0" applyFont="1" applyBorder="1" applyAlignment="1">
      <alignment horizontal="right" vertical="center"/>
    </xf>
    <xf numFmtId="0" fontId="4" fillId="0" borderId="32" xfId="0" applyFont="1" applyBorder="1" applyAlignment="1">
      <alignment horizontal="right" vertical="center"/>
    </xf>
    <xf numFmtId="0" fontId="27" fillId="0" borderId="32" xfId="0" applyFont="1" applyBorder="1" applyAlignment="1">
      <alignment horizontal="right" vertical="center"/>
    </xf>
    <xf numFmtId="0" fontId="4" fillId="4" borderId="32" xfId="0" applyFont="1" applyFill="1" applyBorder="1" applyAlignment="1">
      <alignment horizontal="right" vertical="center"/>
    </xf>
    <xf numFmtId="0" fontId="29" fillId="0" borderId="0" xfId="0" applyFont="1" applyAlignment="1">
      <alignment horizontal="right"/>
    </xf>
    <xf numFmtId="164" fontId="4" fillId="0" borderId="0" xfId="0" applyNumberFormat="1" applyFont="1" applyAlignment="1">
      <alignment horizontal="center"/>
    </xf>
    <xf numFmtId="0" fontId="0" fillId="0" borderId="0" xfId="0" applyFont="1"/>
    <xf numFmtId="3" fontId="4" fillId="0" borderId="46" xfId="0" applyNumberFormat="1" applyFont="1" applyBorder="1" applyAlignment="1">
      <alignment horizontal="right" vertical="center"/>
    </xf>
    <xf numFmtId="3" fontId="16" fillId="0" borderId="35" xfId="0" applyNumberFormat="1" applyFont="1" applyBorder="1" applyAlignment="1">
      <alignment horizontal="right" vertical="center"/>
    </xf>
    <xf numFmtId="0" fontId="5" fillId="14" borderId="0" xfId="0" applyFont="1" applyFill="1" applyBorder="1" applyAlignment="1">
      <alignment horizontal="center"/>
    </xf>
    <xf numFmtId="0" fontId="5" fillId="14" borderId="0" xfId="2" applyFont="1" applyFill="1" applyBorder="1" applyAlignment="1">
      <alignment horizontal="right"/>
    </xf>
    <xf numFmtId="3" fontId="5" fillId="14" borderId="0" xfId="0" applyNumberFormat="1" applyFont="1" applyFill="1" applyBorder="1"/>
    <xf numFmtId="6" fontId="5" fillId="14" borderId="0" xfId="1" applyNumberFormat="1" applyFont="1" applyFill="1" applyBorder="1"/>
    <xf numFmtId="6" fontId="5" fillId="14" borderId="0" xfId="0" applyNumberFormat="1" applyFont="1" applyFill="1" applyBorder="1"/>
    <xf numFmtId="6" fontId="4" fillId="14" borderId="0" xfId="0" applyNumberFormat="1" applyFont="1" applyFill="1"/>
    <xf numFmtId="0" fontId="7" fillId="15" borderId="0" xfId="0" applyFont="1" applyFill="1" applyBorder="1" applyAlignment="1">
      <alignment horizontal="right"/>
    </xf>
    <xf numFmtId="9" fontId="6" fillId="15" borderId="0" xfId="3" applyFont="1" applyFill="1" applyBorder="1" applyAlignment="1"/>
    <xf numFmtId="6" fontId="6" fillId="15" borderId="0" xfId="3" applyNumberFormat="1" applyFont="1" applyFill="1" applyBorder="1" applyAlignment="1"/>
    <xf numFmtId="3" fontId="4" fillId="0" borderId="46" xfId="0" applyNumberFormat="1" applyFont="1" applyFill="1" applyBorder="1" applyAlignment="1">
      <alignment horizontal="right" vertical="center"/>
    </xf>
    <xf numFmtId="3" fontId="4" fillId="0" borderId="47" xfId="0" applyNumberFormat="1" applyFont="1" applyBorder="1" applyAlignment="1">
      <alignment horizontal="right" vertical="center"/>
    </xf>
    <xf numFmtId="3" fontId="5" fillId="16" borderId="37" xfId="0" applyNumberFormat="1" applyFont="1" applyFill="1" applyBorder="1" applyAlignment="1">
      <alignment horizontal="center"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3" fontId="11" fillId="0" borderId="51" xfId="0" applyNumberFormat="1" applyFont="1" applyBorder="1" applyAlignment="1">
      <alignment horizontal="left"/>
    </xf>
    <xf numFmtId="0" fontId="15" fillId="0" borderId="52" xfId="0" applyFont="1" applyBorder="1" applyAlignment="1">
      <alignment horizontal="center" vertical="center"/>
    </xf>
    <xf numFmtId="0" fontId="15" fillId="0" borderId="53" xfId="0" applyFont="1" applyBorder="1" applyAlignment="1">
      <alignment horizontal="center" vertical="center"/>
    </xf>
    <xf numFmtId="49" fontId="15" fillId="0" borderId="54" xfId="0" applyNumberFormat="1" applyFont="1" applyBorder="1" applyAlignment="1">
      <alignment horizontal="center" vertical="center"/>
    </xf>
    <xf numFmtId="0" fontId="15" fillId="0" borderId="55" xfId="0" applyFont="1" applyBorder="1" applyAlignment="1">
      <alignment horizontal="right" vertical="center"/>
    </xf>
    <xf numFmtId="3" fontId="15" fillId="0" borderId="56" xfId="0" applyNumberFormat="1" applyFont="1" applyBorder="1" applyAlignment="1">
      <alignment horizontal="right" vertical="center"/>
    </xf>
    <xf numFmtId="3" fontId="15" fillId="4" borderId="56" xfId="0" applyNumberFormat="1" applyFont="1" applyFill="1" applyBorder="1" applyAlignment="1">
      <alignment horizontal="right" vertical="center"/>
    </xf>
    <xf numFmtId="3" fontId="15" fillId="0" borderId="56" xfId="0" applyNumberFormat="1" applyFont="1" applyFill="1" applyBorder="1" applyAlignment="1">
      <alignment horizontal="right" vertical="center"/>
    </xf>
    <xf numFmtId="3" fontId="15" fillId="0" borderId="53" xfId="0" applyNumberFormat="1" applyFont="1" applyBorder="1" applyAlignment="1">
      <alignment horizontal="right" vertical="center"/>
    </xf>
    <xf numFmtId="3" fontId="4" fillId="0" borderId="56" xfId="0" applyNumberFormat="1" applyFont="1" applyBorder="1" applyAlignment="1">
      <alignment horizontal="right" vertical="center"/>
    </xf>
    <xf numFmtId="3" fontId="31" fillId="3" borderId="48" xfId="0" applyNumberFormat="1" applyFont="1" applyFill="1" applyBorder="1" applyAlignment="1">
      <alignment horizontal="center" vertical="center" wrapText="1"/>
    </xf>
    <xf numFmtId="0" fontId="5" fillId="0" borderId="45" xfId="0" applyFont="1" applyBorder="1" applyAlignment="1">
      <alignment horizontal="center" vertical="top"/>
    </xf>
    <xf numFmtId="0" fontId="5" fillId="0" borderId="14" xfId="0" applyFont="1" applyBorder="1" applyAlignment="1">
      <alignment horizontal="center" vertical="top"/>
    </xf>
    <xf numFmtId="0" fontId="5" fillId="0" borderId="14" xfId="0" applyFont="1" applyFill="1" applyBorder="1" applyAlignment="1">
      <alignment horizontal="center" vertical="top"/>
    </xf>
    <xf numFmtId="0" fontId="5" fillId="0" borderId="57" xfId="0" applyFont="1" applyFill="1" applyBorder="1" applyAlignment="1">
      <alignment horizontal="center" vertical="top"/>
    </xf>
    <xf numFmtId="6" fontId="11" fillId="7" borderId="58" xfId="0" applyNumberFormat="1" applyFont="1" applyFill="1" applyBorder="1" applyAlignment="1">
      <alignment horizontal="center" wrapText="1"/>
    </xf>
    <xf numFmtId="49" fontId="11" fillId="14" borderId="66" xfId="0" applyNumberFormat="1" applyFont="1" applyFill="1" applyBorder="1" applyAlignment="1">
      <alignment horizontal="center" wrapText="1"/>
    </xf>
    <xf numFmtId="0" fontId="4" fillId="14" borderId="67" xfId="0" applyFont="1" applyFill="1" applyBorder="1" applyAlignment="1">
      <alignment horizontal="center"/>
    </xf>
    <xf numFmtId="0" fontId="4" fillId="14" borderId="68" xfId="0" applyFont="1" applyFill="1" applyBorder="1" applyAlignment="1">
      <alignment horizontal="center"/>
    </xf>
    <xf numFmtId="0" fontId="4" fillId="14" borderId="69" xfId="0" applyFont="1" applyFill="1" applyBorder="1" applyAlignment="1">
      <alignment horizontal="center"/>
    </xf>
    <xf numFmtId="3" fontId="33" fillId="14" borderId="72" xfId="0" applyNumberFormat="1" applyFont="1" applyFill="1" applyBorder="1" applyAlignment="1">
      <alignment horizontal="right"/>
    </xf>
    <xf numFmtId="3" fontId="33" fillId="14" borderId="74" xfId="0" applyNumberFormat="1" applyFont="1" applyFill="1" applyBorder="1" applyAlignment="1">
      <alignment horizontal="right"/>
    </xf>
    <xf numFmtId="3" fontId="33" fillId="14" borderId="76" xfId="0" applyNumberFormat="1" applyFont="1" applyFill="1" applyBorder="1" applyAlignment="1">
      <alignment horizontal="right"/>
    </xf>
    <xf numFmtId="38" fontId="32" fillId="14" borderId="79" xfId="0" applyNumberFormat="1" applyFont="1" applyFill="1" applyBorder="1"/>
    <xf numFmtId="38" fontId="32" fillId="14" borderId="80" xfId="0" applyNumberFormat="1" applyFont="1" applyFill="1" applyBorder="1"/>
    <xf numFmtId="6" fontId="33" fillId="14" borderId="72" xfId="0" applyNumberFormat="1" applyFont="1" applyFill="1" applyBorder="1" applyAlignment="1">
      <alignment horizontal="right"/>
    </xf>
    <xf numFmtId="6" fontId="32" fillId="14" borderId="79" xfId="0" applyNumberFormat="1" applyFont="1" applyFill="1" applyBorder="1"/>
    <xf numFmtId="6" fontId="33" fillId="14" borderId="74" xfId="0" applyNumberFormat="1" applyFont="1" applyFill="1" applyBorder="1" applyAlignment="1">
      <alignment horizontal="right"/>
    </xf>
    <xf numFmtId="6" fontId="32" fillId="14" borderId="80" xfId="0" applyNumberFormat="1" applyFont="1" applyFill="1" applyBorder="1"/>
    <xf numFmtId="6" fontId="33" fillId="14" borderId="76" xfId="0" applyNumberFormat="1" applyFont="1" applyFill="1" applyBorder="1" applyAlignment="1">
      <alignment horizontal="right"/>
    </xf>
    <xf numFmtId="3" fontId="35" fillId="14" borderId="73" xfId="0" applyNumberFormat="1" applyFont="1" applyFill="1" applyBorder="1" applyAlignment="1">
      <alignment horizontal="right"/>
    </xf>
    <xf numFmtId="3" fontId="35" fillId="14" borderId="75" xfId="0" applyNumberFormat="1" applyFont="1" applyFill="1" applyBorder="1" applyAlignment="1">
      <alignment horizontal="right"/>
    </xf>
    <xf numFmtId="3" fontId="35" fillId="14" borderId="77" xfId="0" applyNumberFormat="1" applyFont="1" applyFill="1" applyBorder="1" applyAlignment="1">
      <alignment horizontal="right"/>
    </xf>
    <xf numFmtId="6" fontId="36" fillId="14" borderId="73" xfId="0" applyNumberFormat="1" applyFont="1" applyFill="1" applyBorder="1" applyAlignment="1">
      <alignment horizontal="right"/>
    </xf>
    <xf numFmtId="6" fontId="36" fillId="14" borderId="75" xfId="0" applyNumberFormat="1" applyFont="1" applyFill="1" applyBorder="1" applyAlignment="1">
      <alignment horizontal="right"/>
    </xf>
    <xf numFmtId="6" fontId="36" fillId="14" borderId="77" xfId="0" applyNumberFormat="1" applyFont="1" applyFill="1" applyBorder="1" applyAlignment="1">
      <alignment horizontal="right"/>
    </xf>
    <xf numFmtId="0" fontId="37" fillId="14" borderId="70" xfId="0" applyFont="1" applyFill="1" applyBorder="1" applyAlignment="1">
      <alignment horizontal="center" wrapText="1"/>
    </xf>
    <xf numFmtId="38" fontId="38" fillId="14" borderId="78" xfId="0" applyNumberFormat="1" applyFont="1" applyFill="1" applyBorder="1" applyAlignment="1">
      <alignment horizontal="center" wrapText="1"/>
    </xf>
    <xf numFmtId="38" fontId="39" fillId="21" borderId="71" xfId="0" applyNumberFormat="1" applyFont="1" applyFill="1" applyBorder="1" applyAlignment="1">
      <alignment horizontal="center" vertical="center" wrapText="1"/>
    </xf>
    <xf numFmtId="38" fontId="39" fillId="20" borderId="71" xfId="0" applyNumberFormat="1" applyFont="1" applyFill="1" applyBorder="1" applyAlignment="1">
      <alignment horizontal="center" vertical="center" wrapText="1"/>
    </xf>
    <xf numFmtId="3" fontId="40" fillId="14" borderId="59" xfId="0" applyNumberFormat="1" applyFont="1" applyFill="1" applyBorder="1"/>
    <xf numFmtId="6" fontId="40" fillId="14" borderId="63" xfId="0" applyNumberFormat="1" applyFont="1" applyFill="1" applyBorder="1"/>
    <xf numFmtId="3" fontId="40" fillId="14" borderId="60" xfId="0" applyNumberFormat="1" applyFont="1" applyFill="1" applyBorder="1"/>
    <xf numFmtId="6" fontId="40" fillId="14" borderId="64" xfId="0" applyNumberFormat="1" applyFont="1" applyFill="1" applyBorder="1"/>
    <xf numFmtId="3" fontId="40" fillId="14" borderId="61" xfId="0" applyNumberFormat="1" applyFont="1" applyFill="1" applyBorder="1"/>
    <xf numFmtId="6" fontId="40" fillId="14" borderId="65" xfId="0" applyNumberFormat="1" applyFont="1" applyFill="1" applyBorder="1"/>
    <xf numFmtId="49" fontId="0" fillId="14" borderId="0" xfId="0" applyNumberFormat="1" applyFill="1"/>
    <xf numFmtId="0" fontId="0" fillId="14" borderId="0" xfId="0" applyFill="1"/>
    <xf numFmtId="165" fontId="0" fillId="14" borderId="0" xfId="0" applyNumberFormat="1" applyFill="1"/>
    <xf numFmtId="0" fontId="6" fillId="2" borderId="41" xfId="0" applyFont="1" applyFill="1" applyBorder="1" applyAlignment="1" applyProtection="1">
      <alignment vertical="center"/>
      <protection locked="0"/>
    </xf>
    <xf numFmtId="0" fontId="4" fillId="0" borderId="0" xfId="0" applyFont="1" applyAlignment="1" applyProtection="1">
      <alignment horizontal="right"/>
      <protection locked="0"/>
    </xf>
    <xf numFmtId="38" fontId="4" fillId="0" borderId="0" xfId="0" applyNumberFormat="1" applyFont="1" applyProtection="1">
      <protection locked="0"/>
    </xf>
    <xf numFmtId="6" fontId="4" fillId="0" borderId="0" xfId="1" applyNumberFormat="1" applyFont="1" applyProtection="1">
      <protection locked="0"/>
    </xf>
    <xf numFmtId="6" fontId="4" fillId="0" borderId="0" xfId="0" applyNumberFormat="1" applyFont="1" applyProtection="1">
      <protection locked="0"/>
    </xf>
    <xf numFmtId="165" fontId="4" fillId="14" borderId="84" xfId="0" applyNumberFormat="1" applyFont="1" applyFill="1" applyBorder="1"/>
    <xf numFmtId="165" fontId="4" fillId="14" borderId="85" xfId="0" applyNumberFormat="1" applyFont="1" applyFill="1" applyBorder="1"/>
    <xf numFmtId="165" fontId="4" fillId="10" borderId="84" xfId="0" applyNumberFormat="1" applyFont="1" applyFill="1" applyBorder="1"/>
    <xf numFmtId="165" fontId="4" fillId="10" borderId="85" xfId="0" applyNumberFormat="1" applyFont="1" applyFill="1" applyBorder="1"/>
    <xf numFmtId="3" fontId="4" fillId="14" borderId="86" xfId="0" applyNumberFormat="1" applyFont="1" applyFill="1" applyBorder="1"/>
    <xf numFmtId="3" fontId="4" fillId="14" borderId="62" xfId="0" applyNumberFormat="1" applyFont="1" applyFill="1" applyBorder="1"/>
    <xf numFmtId="3" fontId="4" fillId="10" borderId="86" xfId="0" applyNumberFormat="1" applyFont="1" applyFill="1" applyBorder="1"/>
    <xf numFmtId="3" fontId="4" fillId="10" borderId="62" xfId="0" applyNumberFormat="1" applyFont="1" applyFill="1" applyBorder="1"/>
    <xf numFmtId="49" fontId="4" fillId="14" borderId="1" xfId="0" applyNumberFormat="1" applyFont="1" applyFill="1" applyBorder="1" applyAlignment="1">
      <alignment horizontal="center"/>
    </xf>
    <xf numFmtId="49" fontId="4" fillId="14" borderId="16" xfId="0" applyNumberFormat="1" applyFont="1" applyFill="1" applyBorder="1" applyAlignment="1">
      <alignment horizontal="center"/>
    </xf>
    <xf numFmtId="49" fontId="4" fillId="10" borderId="1" xfId="0" applyNumberFormat="1" applyFont="1" applyFill="1" applyBorder="1" applyAlignment="1">
      <alignment horizontal="center"/>
    </xf>
    <xf numFmtId="49" fontId="4" fillId="10" borderId="16" xfId="0" applyNumberFormat="1" applyFont="1" applyFill="1" applyBorder="1" applyAlignment="1">
      <alignment horizontal="center"/>
    </xf>
    <xf numFmtId="6" fontId="39" fillId="19" borderId="18" xfId="0" applyNumberFormat="1" applyFont="1" applyFill="1" applyBorder="1" applyAlignment="1">
      <alignment horizontal="center" wrapText="1"/>
    </xf>
    <xf numFmtId="6" fontId="39" fillId="18" borderId="18" xfId="0" applyNumberFormat="1" applyFont="1" applyFill="1" applyBorder="1" applyAlignment="1">
      <alignment horizontal="center" wrapText="1"/>
    </xf>
    <xf numFmtId="165" fontId="21" fillId="14" borderId="0" xfId="0" applyNumberFormat="1" applyFont="1" applyFill="1"/>
    <xf numFmtId="0" fontId="30" fillId="14" borderId="0" xfId="0" applyFont="1" applyFill="1"/>
    <xf numFmtId="1" fontId="30" fillId="14" borderId="0" xfId="0" applyNumberFormat="1" applyFont="1" applyFill="1"/>
    <xf numFmtId="3" fontId="30" fillId="14" borderId="0" xfId="0" applyNumberFormat="1" applyFont="1" applyFill="1" applyAlignment="1">
      <alignment horizontal="center" vertical="center"/>
    </xf>
    <xf numFmtId="6" fontId="5" fillId="0" borderId="0" xfId="1" applyNumberFormat="1" applyFont="1"/>
    <xf numFmtId="49" fontId="4" fillId="0" borderId="0" xfId="0" applyNumberFormat="1" applyFont="1"/>
    <xf numFmtId="49" fontId="42" fillId="0" borderId="0" xfId="0" applyNumberFormat="1" applyFont="1" applyBorder="1" applyAlignment="1">
      <alignment horizontal="center"/>
    </xf>
    <xf numFmtId="165" fontId="5" fillId="0" borderId="87" xfId="0" applyNumberFormat="1" applyFont="1" applyBorder="1"/>
    <xf numFmtId="165" fontId="5" fillId="0" borderId="25" xfId="0" applyNumberFormat="1" applyFont="1" applyBorder="1"/>
    <xf numFmtId="167" fontId="4" fillId="0" borderId="88" xfId="5" applyNumberFormat="1" applyFont="1" applyBorder="1"/>
    <xf numFmtId="0" fontId="4" fillId="0" borderId="0" xfId="0" pivotButton="1" applyFont="1"/>
    <xf numFmtId="167" fontId="4" fillId="0" borderId="0" xfId="0" applyNumberFormat="1" applyFont="1"/>
    <xf numFmtId="0" fontId="43" fillId="0" borderId="0" xfId="0" applyFont="1"/>
    <xf numFmtId="3" fontId="5" fillId="0" borderId="0" xfId="0" applyNumberFormat="1" applyFont="1" applyFill="1"/>
    <xf numFmtId="167" fontId="4" fillId="0" borderId="88" xfId="5" applyNumberFormat="1" applyFont="1" applyFill="1" applyBorder="1"/>
    <xf numFmtId="6" fontId="5" fillId="0" borderId="0" xfId="1" applyNumberFormat="1" applyFont="1" applyFill="1"/>
    <xf numFmtId="165" fontId="4" fillId="0" borderId="0" xfId="0" applyNumberFormat="1" applyFont="1" applyFill="1"/>
    <xf numFmtId="165" fontId="5" fillId="0" borderId="25" xfId="0" applyNumberFormat="1" applyFont="1" applyFill="1" applyBorder="1"/>
    <xf numFmtId="3" fontId="11" fillId="0" borderId="24" xfId="0" applyNumberFormat="1" applyFont="1" applyFill="1" applyBorder="1" applyAlignment="1">
      <alignment horizontal="left"/>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49" fontId="25" fillId="0" borderId="34" xfId="0" applyNumberFormat="1" applyFont="1" applyFill="1" applyBorder="1" applyAlignment="1">
      <alignment horizontal="center" vertical="center"/>
    </xf>
    <xf numFmtId="0" fontId="25" fillId="0" borderId="32" xfId="0" applyFont="1" applyFill="1" applyBorder="1" applyAlignment="1">
      <alignment horizontal="right" vertical="center"/>
    </xf>
    <xf numFmtId="3" fontId="25" fillId="0" borderId="35" xfId="0" applyNumberFormat="1" applyFont="1" applyFill="1" applyBorder="1" applyAlignment="1">
      <alignment horizontal="right" vertical="center"/>
    </xf>
    <xf numFmtId="3" fontId="25" fillId="0" borderId="33" xfId="0" applyNumberFormat="1" applyFont="1" applyFill="1" applyBorder="1" applyAlignment="1">
      <alignment horizontal="right" vertical="center"/>
    </xf>
    <xf numFmtId="0" fontId="30" fillId="0" borderId="49" xfId="0" applyFont="1" applyFill="1" applyBorder="1" applyAlignment="1">
      <alignment horizontal="left" vertical="center"/>
    </xf>
    <xf numFmtId="0" fontId="25" fillId="0" borderId="0" xfId="0" applyFont="1" applyFill="1" applyAlignment="1">
      <alignment horizont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49" fontId="15" fillId="0" borderId="34" xfId="0" applyNumberFormat="1" applyFont="1" applyFill="1" applyBorder="1" applyAlignment="1">
      <alignment horizontal="center" vertical="center"/>
    </xf>
    <xf numFmtId="0" fontId="15" fillId="0" borderId="32" xfId="0" applyFont="1" applyFill="1" applyBorder="1" applyAlignment="1">
      <alignment horizontal="right" vertical="center"/>
    </xf>
    <xf numFmtId="3" fontId="15" fillId="0" borderId="35" xfId="0" applyNumberFormat="1" applyFont="1" applyFill="1" applyBorder="1" applyAlignment="1">
      <alignment horizontal="right" vertical="center"/>
    </xf>
    <xf numFmtId="3" fontId="15" fillId="0" borderId="33" xfId="0" applyNumberFormat="1" applyFont="1" applyFill="1" applyBorder="1" applyAlignment="1">
      <alignment horizontal="right" vertical="center"/>
    </xf>
    <xf numFmtId="0" fontId="4" fillId="0" borderId="0" xfId="0" applyFont="1" applyFill="1" applyAlignment="1">
      <alignment horizontal="center"/>
    </xf>
    <xf numFmtId="0" fontId="15" fillId="0" borderId="36" xfId="0" applyFont="1" applyFill="1" applyBorder="1" applyAlignment="1">
      <alignment horizontal="right" vertical="center"/>
    </xf>
    <xf numFmtId="0" fontId="5" fillId="0" borderId="89" xfId="0" applyFont="1" applyBorder="1" applyAlignment="1">
      <alignment horizontal="center" vertical="top"/>
    </xf>
    <xf numFmtId="0" fontId="5" fillId="0" borderId="90" xfId="0" applyFont="1" applyBorder="1" applyAlignment="1">
      <alignment horizontal="center" vertical="top"/>
    </xf>
    <xf numFmtId="0" fontId="5" fillId="0" borderId="90" xfId="0" applyFont="1" applyFill="1" applyBorder="1" applyAlignment="1">
      <alignment horizontal="center" vertical="top"/>
    </xf>
    <xf numFmtId="0" fontId="4" fillId="0" borderId="92" xfId="0" applyFont="1" applyBorder="1"/>
    <xf numFmtId="3" fontId="4" fillId="0" borderId="92" xfId="0" applyNumberFormat="1" applyFont="1" applyBorder="1"/>
    <xf numFmtId="0" fontId="4" fillId="0" borderId="35" xfId="0" applyFont="1" applyBorder="1"/>
    <xf numFmtId="3" fontId="4" fillId="0" borderId="35" xfId="0" applyNumberFormat="1" applyFont="1" applyBorder="1"/>
    <xf numFmtId="0" fontId="4" fillId="0" borderId="93" xfId="0" applyFont="1" applyBorder="1"/>
    <xf numFmtId="3" fontId="4" fillId="0" borderId="93" xfId="0" applyNumberFormat="1" applyFont="1" applyBorder="1"/>
    <xf numFmtId="0" fontId="5" fillId="11" borderId="90" xfId="0" applyFont="1" applyFill="1" applyBorder="1" applyAlignment="1">
      <alignment horizontal="center" vertical="top"/>
    </xf>
    <xf numFmtId="164" fontId="42" fillId="0" borderId="0" xfId="0" applyNumberFormat="1" applyFont="1" applyAlignment="1">
      <alignment horizontal="center"/>
    </xf>
    <xf numFmtId="38" fontId="44" fillId="0" borderId="0" xfId="0" applyNumberFormat="1" applyFont="1" applyBorder="1" applyAlignment="1">
      <alignment horizontal="right"/>
    </xf>
    <xf numFmtId="38" fontId="44" fillId="0" borderId="0" xfId="0" applyNumberFormat="1" applyFont="1" applyFill="1" applyBorder="1" applyAlignment="1">
      <alignment horizontal="right" vertical="center"/>
    </xf>
    <xf numFmtId="38" fontId="44" fillId="0" borderId="0" xfId="0" applyNumberFormat="1" applyFont="1" applyBorder="1" applyAlignment="1">
      <alignment horizontal="right" vertical="center"/>
    </xf>
    <xf numFmtId="0" fontId="7" fillId="6" borderId="2" xfId="0" applyFont="1" applyFill="1" applyBorder="1" applyAlignment="1">
      <alignment horizontal="center" vertical="center"/>
    </xf>
    <xf numFmtId="0" fontId="7" fillId="7" borderId="82" xfId="0" applyFont="1" applyFill="1" applyBorder="1" applyAlignment="1">
      <alignment horizontal="center" vertical="center"/>
    </xf>
    <xf numFmtId="3" fontId="7" fillId="7" borderId="83" xfId="0" applyNumberFormat="1" applyFont="1" applyFill="1" applyBorder="1" applyAlignment="1">
      <alignment horizontal="right" vertical="center"/>
    </xf>
    <xf numFmtId="6" fontId="7" fillId="7" borderId="83" xfId="0" applyNumberFormat="1" applyFont="1" applyFill="1" applyBorder="1" applyAlignment="1">
      <alignment vertical="center"/>
    </xf>
    <xf numFmtId="0" fontId="7" fillId="0" borderId="28" xfId="0" applyFont="1" applyFill="1" applyBorder="1" applyAlignment="1">
      <alignment horizontal="center" vertical="center"/>
    </xf>
    <xf numFmtId="3" fontId="7" fillId="5" borderId="16" xfId="0" applyNumberFormat="1" applyFont="1" applyFill="1" applyBorder="1" applyAlignment="1">
      <alignment horizontal="right" vertical="center"/>
    </xf>
    <xf numFmtId="6" fontId="7" fillId="5" borderId="16" xfId="0" applyNumberFormat="1" applyFont="1" applyFill="1" applyBorder="1" applyAlignment="1">
      <alignment vertical="center"/>
    </xf>
    <xf numFmtId="38" fontId="5" fillId="14" borderId="0" xfId="0" applyNumberFormat="1" applyFont="1" applyFill="1" applyBorder="1"/>
    <xf numFmtId="38" fontId="6" fillId="15" borderId="0" xfId="3" applyNumberFormat="1" applyFont="1" applyFill="1" applyBorder="1" applyAlignment="1"/>
    <xf numFmtId="38" fontId="7" fillId="7" borderId="83" xfId="0" applyNumberFormat="1" applyFont="1" applyFill="1" applyBorder="1" applyAlignment="1">
      <alignment vertical="center"/>
    </xf>
    <xf numFmtId="38" fontId="7" fillId="5" borderId="16" xfId="0" applyNumberFormat="1" applyFont="1" applyFill="1" applyBorder="1" applyAlignment="1">
      <alignment vertical="center"/>
    </xf>
    <xf numFmtId="0" fontId="4" fillId="14" borderId="0" xfId="0" applyFont="1" applyFill="1"/>
    <xf numFmtId="0" fontId="4" fillId="14" borderId="0" xfId="0" applyFont="1" applyFill="1" applyAlignment="1">
      <alignment horizontal="left"/>
    </xf>
    <xf numFmtId="167" fontId="4" fillId="14" borderId="94" xfId="0" applyNumberFormat="1" applyFont="1" applyFill="1" applyBorder="1"/>
    <xf numFmtId="0" fontId="45" fillId="21" borderId="0" xfId="0" applyFont="1" applyFill="1" applyAlignment="1">
      <alignment horizontal="left"/>
    </xf>
    <xf numFmtId="0" fontId="12" fillId="21" borderId="95" xfId="0" applyFont="1" applyFill="1" applyBorder="1" applyAlignment="1">
      <alignment horizontal="center" vertical="center" wrapText="1"/>
    </xf>
    <xf numFmtId="167" fontId="45" fillId="21" borderId="94" xfId="0" applyNumberFormat="1" applyFont="1" applyFill="1" applyBorder="1"/>
    <xf numFmtId="167" fontId="12" fillId="21" borderId="96" xfId="0" applyNumberFormat="1" applyFont="1" applyFill="1" applyBorder="1" applyAlignment="1">
      <alignment horizontal="center" vertical="center" wrapText="1"/>
    </xf>
    <xf numFmtId="6" fontId="4" fillId="0" borderId="0" xfId="0" applyNumberFormat="1" applyFont="1" applyBorder="1"/>
    <xf numFmtId="0" fontId="4" fillId="0" borderId="0" xfId="0" applyFont="1" applyAlignment="1">
      <alignment horizontal="center" shrinkToFit="1"/>
    </xf>
    <xf numFmtId="0" fontId="46" fillId="0" borderId="0" xfId="0" applyFont="1" applyAlignment="1"/>
    <xf numFmtId="0" fontId="47" fillId="0" borderId="0" xfId="0" applyFont="1" applyAlignment="1"/>
    <xf numFmtId="0" fontId="48" fillId="0" borderId="0" xfId="0" applyFont="1" applyAlignment="1">
      <alignment horizontal="center"/>
    </xf>
    <xf numFmtId="38" fontId="4" fillId="0" borderId="0" xfId="0" applyNumberFormat="1" applyFont="1" applyFill="1" applyAlignment="1">
      <alignment horizontal="center"/>
    </xf>
    <xf numFmtId="6" fontId="49" fillId="0" borderId="0" xfId="0" applyNumberFormat="1" applyFont="1"/>
    <xf numFmtId="38" fontId="5" fillId="3" borderId="97" xfId="0" applyNumberFormat="1" applyFont="1" applyFill="1" applyBorder="1" applyAlignment="1">
      <alignment horizontal="right" vertical="center"/>
    </xf>
    <xf numFmtId="38" fontId="5" fillId="3" borderId="98" xfId="0" applyNumberFormat="1" applyFont="1" applyFill="1" applyBorder="1" applyAlignment="1">
      <alignment horizontal="right" vertical="center"/>
    </xf>
    <xf numFmtId="6" fontId="5" fillId="3" borderId="97" xfId="0" applyNumberFormat="1" applyFont="1" applyFill="1" applyBorder="1" applyAlignment="1">
      <alignment horizontal="right" vertical="center"/>
    </xf>
    <xf numFmtId="0" fontId="5" fillId="3" borderId="97" xfId="0" applyFont="1" applyFill="1" applyBorder="1" applyAlignment="1">
      <alignment horizontal="right" vertical="center"/>
    </xf>
    <xf numFmtId="0" fontId="4" fillId="0" borderId="0" xfId="0" applyFont="1" applyAlignment="1">
      <alignment horizontal="center" vertical="center" shrinkToFit="1"/>
    </xf>
    <xf numFmtId="38" fontId="4" fillId="7" borderId="19" xfId="0" applyNumberFormat="1" applyFont="1" applyFill="1" applyBorder="1" applyAlignment="1">
      <alignment horizontal="right" vertical="center"/>
    </xf>
    <xf numFmtId="38" fontId="4" fillId="7" borderId="87" xfId="0" applyNumberFormat="1" applyFont="1" applyFill="1" applyBorder="1" applyAlignment="1">
      <alignment horizontal="right" vertical="center"/>
    </xf>
    <xf numFmtId="6" fontId="4" fillId="7" borderId="19" xfId="0" applyNumberFormat="1" applyFont="1" applyFill="1" applyBorder="1" applyAlignment="1">
      <alignment horizontal="right" vertical="center"/>
    </xf>
    <xf numFmtId="0" fontId="4" fillId="7" borderId="99" xfId="0" applyFont="1" applyFill="1" applyBorder="1" applyAlignment="1">
      <alignment horizontal="right" vertical="center"/>
    </xf>
    <xf numFmtId="0" fontId="4" fillId="0" borderId="0" xfId="0" applyFont="1" applyAlignment="1">
      <alignment horizontal="right" shrinkToFit="1"/>
    </xf>
    <xf numFmtId="0" fontId="5" fillId="0" borderId="0" xfId="0" applyFont="1" applyAlignment="1">
      <alignment horizontal="right" shrinkToFit="1"/>
    </xf>
    <xf numFmtId="6" fontId="4" fillId="0" borderId="101" xfId="0" applyNumberFormat="1" applyFont="1" applyBorder="1" applyAlignment="1">
      <alignment horizontal="right" vertical="center"/>
    </xf>
    <xf numFmtId="6" fontId="4" fillId="0" borderId="84" xfId="0" applyNumberFormat="1" applyFont="1" applyBorder="1" applyAlignment="1">
      <alignment horizontal="right" vertical="center"/>
    </xf>
    <xf numFmtId="6" fontId="4" fillId="0" borderId="0" xfId="0" applyNumberFormat="1" applyFont="1" applyAlignment="1">
      <alignment horizontal="right"/>
    </xf>
    <xf numFmtId="6" fontId="4" fillId="0" borderId="0" xfId="0" applyNumberFormat="1" applyFont="1" applyBorder="1" applyAlignment="1">
      <alignment horizontal="right"/>
    </xf>
    <xf numFmtId="6" fontId="4" fillId="0" borderId="19" xfId="0" applyNumberFormat="1" applyFont="1" applyBorder="1" applyAlignment="1">
      <alignment horizontal="right"/>
    </xf>
    <xf numFmtId="6" fontId="4" fillId="23" borderId="19" xfId="0" applyNumberFormat="1" applyFont="1" applyFill="1" applyBorder="1" applyAlignment="1">
      <alignment horizontal="right"/>
    </xf>
    <xf numFmtId="0" fontId="4" fillId="0" borderId="0" xfId="0" applyFont="1" applyAlignment="1">
      <alignment horizontal="left" shrinkToFit="1"/>
    </xf>
    <xf numFmtId="38" fontId="4" fillId="7" borderId="85" xfId="0" applyNumberFormat="1" applyFont="1" applyFill="1" applyBorder="1" applyAlignment="1">
      <alignment horizontal="right" vertical="center"/>
    </xf>
    <xf numFmtId="6" fontId="5" fillId="0" borderId="102" xfId="0" applyNumberFormat="1" applyFont="1" applyBorder="1" applyAlignment="1">
      <alignment horizontal="right"/>
    </xf>
    <xf numFmtId="6" fontId="5" fillId="0" borderId="100" xfId="0" applyNumberFormat="1" applyFont="1" applyBorder="1" applyAlignment="1">
      <alignment horizontal="right"/>
    </xf>
    <xf numFmtId="6"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center" shrinkToFit="1"/>
    </xf>
    <xf numFmtId="6" fontId="4" fillId="0" borderId="29" xfId="0" applyNumberFormat="1" applyFont="1" applyBorder="1" applyAlignment="1">
      <alignment horizontal="right"/>
    </xf>
    <xf numFmtId="6" fontId="4" fillId="0" borderId="103" xfId="0" applyNumberFormat="1" applyFont="1" applyBorder="1" applyAlignment="1">
      <alignment horizontal="right"/>
    </xf>
    <xf numFmtId="0" fontId="4" fillId="0" borderId="29" xfId="0" applyFont="1" applyBorder="1" applyAlignment="1">
      <alignment horizontal="right"/>
    </xf>
    <xf numFmtId="6" fontId="4" fillId="0" borderId="101" xfId="0" applyNumberFormat="1" applyFont="1" applyBorder="1" applyAlignment="1">
      <alignment horizontal="right"/>
    </xf>
    <xf numFmtId="0" fontId="52" fillId="0" borderId="0" xfId="0" applyFont="1" applyAlignment="1">
      <alignment horizontal="center"/>
    </xf>
    <xf numFmtId="6" fontId="52" fillId="0" borderId="2" xfId="0" applyNumberFormat="1" applyFont="1" applyFill="1" applyBorder="1" applyAlignment="1">
      <alignment horizontal="center" wrapText="1"/>
    </xf>
    <xf numFmtId="6" fontId="52" fillId="0" borderId="19" xfId="0" applyNumberFormat="1" applyFont="1" applyBorder="1" applyAlignment="1">
      <alignment horizontal="center"/>
    </xf>
    <xf numFmtId="0" fontId="52" fillId="0" borderId="0" xfId="0" applyFont="1" applyAlignment="1">
      <alignment horizontal="center" shrinkToFit="1"/>
    </xf>
    <xf numFmtId="0" fontId="5" fillId="0" borderId="0" xfId="0" applyFont="1" applyAlignment="1">
      <alignment horizontal="center"/>
    </xf>
    <xf numFmtId="6" fontId="5" fillId="8" borderId="2" xfId="0" applyNumberFormat="1" applyFont="1" applyFill="1" applyBorder="1" applyAlignment="1">
      <alignment horizontal="center"/>
    </xf>
    <xf numFmtId="0" fontId="5" fillId="0" borderId="0" xfId="0" applyFont="1" applyAlignment="1">
      <alignment horizontal="center" vertical="center"/>
    </xf>
    <xf numFmtId="0" fontId="5" fillId="0" borderId="0" xfId="0" applyFont="1" applyFill="1" applyAlignment="1">
      <alignment horizontal="center" vertical="center"/>
    </xf>
    <xf numFmtId="6" fontId="5" fillId="0" borderId="0" xfId="0" applyNumberFormat="1" applyFont="1" applyFill="1" applyBorder="1" applyAlignment="1">
      <alignment horizontal="center" vertical="center"/>
    </xf>
    <xf numFmtId="6" fontId="5" fillId="0" borderId="0" xfId="0" applyNumberFormat="1" applyFont="1" applyAlignment="1">
      <alignment horizontal="center" vertical="center"/>
    </xf>
    <xf numFmtId="6" fontId="4" fillId="0" borderId="0" xfId="9" applyNumberFormat="1" applyFont="1" applyBorder="1"/>
    <xf numFmtId="6" fontId="4" fillId="0" borderId="0" xfId="9" applyNumberFormat="1" applyFont="1"/>
    <xf numFmtId="0" fontId="53" fillId="0" borderId="0" xfId="14" applyFont="1"/>
    <xf numFmtId="0" fontId="53" fillId="0" borderId="0" xfId="14" applyFont="1" applyBorder="1"/>
    <xf numFmtId="0" fontId="53" fillId="0" borderId="0" xfId="14" applyFont="1" applyFill="1"/>
    <xf numFmtId="49" fontId="54" fillId="0" borderId="0" xfId="14" applyNumberFormat="1" applyFont="1" applyBorder="1"/>
    <xf numFmtId="49" fontId="54" fillId="0" borderId="0" xfId="14" applyNumberFormat="1" applyFont="1" applyFill="1" applyBorder="1"/>
    <xf numFmtId="38" fontId="5" fillId="25" borderId="106" xfId="14" applyNumberFormat="1" applyFont="1" applyFill="1" applyBorder="1" applyAlignment="1">
      <alignment vertical="center"/>
    </xf>
    <xf numFmtId="3" fontId="5" fillId="25" borderId="106" xfId="14" applyNumberFormat="1" applyFont="1" applyFill="1" applyBorder="1" applyAlignment="1">
      <alignment horizontal="right" vertical="center"/>
    </xf>
    <xf numFmtId="0" fontId="4" fillId="0" borderId="107" xfId="14" applyFont="1" applyBorder="1" applyAlignment="1">
      <alignment horizontal="center" vertical="center"/>
    </xf>
    <xf numFmtId="167" fontId="53" fillId="0" borderId="0" xfId="14" applyNumberFormat="1" applyFont="1" applyAlignment="1">
      <alignment vertical="center"/>
    </xf>
    <xf numFmtId="3" fontId="5" fillId="25" borderId="110" xfId="14" applyNumberFormat="1" applyFont="1" applyFill="1" applyBorder="1" applyAlignment="1">
      <alignment horizontal="right" vertical="center"/>
    </xf>
    <xf numFmtId="0" fontId="4" fillId="0" borderId="112" xfId="14" applyFont="1" applyBorder="1" applyAlignment="1">
      <alignment horizontal="center" vertical="center"/>
    </xf>
    <xf numFmtId="38" fontId="5" fillId="25" borderId="113" xfId="14" applyNumberFormat="1" applyFont="1" applyFill="1" applyBorder="1" applyAlignment="1">
      <alignment vertical="center"/>
    </xf>
    <xf numFmtId="3" fontId="5" fillId="25" borderId="113" xfId="14" applyNumberFormat="1" applyFont="1" applyFill="1" applyBorder="1" applyAlignment="1">
      <alignment horizontal="right" vertical="center"/>
    </xf>
    <xf numFmtId="0" fontId="4" fillId="0" borderId="114" xfId="14" applyFont="1" applyBorder="1" applyAlignment="1">
      <alignment horizontal="center" vertical="center"/>
    </xf>
    <xf numFmtId="3" fontId="5" fillId="25" borderId="113" xfId="14" applyNumberFormat="1" applyFont="1" applyFill="1" applyBorder="1" applyAlignment="1">
      <alignment vertical="center"/>
    </xf>
    <xf numFmtId="0" fontId="4" fillId="0" borderId="114" xfId="14" applyBorder="1" applyAlignment="1">
      <alignment horizontal="center" vertical="center"/>
    </xf>
    <xf numFmtId="0" fontId="12" fillId="27" borderId="23" xfId="14" applyFont="1" applyFill="1" applyBorder="1" applyAlignment="1">
      <alignment horizontal="center" vertical="center" wrapText="1"/>
    </xf>
    <xf numFmtId="0" fontId="12" fillId="28" borderId="23" xfId="14" applyFont="1" applyFill="1" applyBorder="1" applyAlignment="1">
      <alignment horizontal="center" vertical="center" wrapText="1"/>
    </xf>
    <xf numFmtId="0" fontId="12" fillId="29" borderId="23" xfId="14" applyFont="1" applyFill="1" applyBorder="1" applyAlignment="1">
      <alignment horizontal="center" vertical="center" wrapText="1"/>
    </xf>
    <xf numFmtId="0" fontId="12" fillId="0" borderId="121" xfId="14" applyFont="1" applyBorder="1" applyAlignment="1">
      <alignment horizontal="center" wrapText="1"/>
    </xf>
    <xf numFmtId="167" fontId="53" fillId="0" borderId="0" xfId="14" applyNumberFormat="1" applyFont="1" applyFill="1"/>
    <xf numFmtId="3" fontId="5" fillId="25" borderId="129" xfId="14" applyNumberFormat="1" applyFont="1" applyFill="1" applyBorder="1" applyAlignment="1">
      <alignment horizontal="right" vertical="center"/>
    </xf>
    <xf numFmtId="0" fontId="4" fillId="0" borderId="130" xfId="14" applyFont="1" applyBorder="1" applyAlignment="1">
      <alignment horizontal="center" vertical="center"/>
    </xf>
    <xf numFmtId="0" fontId="53" fillId="0" borderId="0" xfId="14" applyFont="1" applyAlignment="1">
      <alignment vertical="center"/>
    </xf>
    <xf numFmtId="0" fontId="53" fillId="0" borderId="0" xfId="14" applyFont="1" applyBorder="1" applyAlignment="1">
      <alignment vertical="center"/>
    </xf>
    <xf numFmtId="38" fontId="5" fillId="0" borderId="0" xfId="14" applyNumberFormat="1" applyFont="1" applyFill="1" applyBorder="1" applyAlignment="1">
      <alignment vertical="center"/>
    </xf>
    <xf numFmtId="38" fontId="5" fillId="25" borderId="129" xfId="14" applyNumberFormat="1" applyFont="1" applyFill="1" applyBorder="1" applyAlignment="1">
      <alignment vertical="center"/>
    </xf>
    <xf numFmtId="3" fontId="5" fillId="0" borderId="0" xfId="14" applyNumberFormat="1" applyFont="1" applyFill="1" applyBorder="1" applyAlignment="1">
      <alignment vertical="center"/>
    </xf>
    <xf numFmtId="3" fontId="60" fillId="0" borderId="0" xfId="14" applyNumberFormat="1" applyFont="1" applyFill="1" applyBorder="1" applyAlignment="1">
      <alignment vertical="center"/>
    </xf>
    <xf numFmtId="0" fontId="12" fillId="0" borderId="0" xfId="14" applyFont="1" applyFill="1" applyBorder="1" applyAlignment="1">
      <alignment horizontal="center" vertical="center" wrapText="1"/>
    </xf>
    <xf numFmtId="38" fontId="53" fillId="0" borderId="0" xfId="16" applyNumberFormat="1" applyFont="1" applyBorder="1"/>
    <xf numFmtId="38" fontId="12" fillId="25" borderId="0" xfId="16" applyNumberFormat="1" applyFont="1" applyFill="1" applyBorder="1"/>
    <xf numFmtId="49" fontId="53" fillId="0" borderId="0" xfId="14" applyNumberFormat="1" applyFont="1" applyBorder="1" applyAlignment="1">
      <alignment horizontal="center"/>
    </xf>
    <xf numFmtId="38" fontId="53" fillId="0" borderId="0" xfId="16" applyNumberFormat="1" applyFont="1" applyFill="1" applyBorder="1"/>
    <xf numFmtId="38" fontId="12" fillId="0" borderId="0" xfId="16" applyNumberFormat="1" applyFont="1" applyFill="1" applyBorder="1"/>
    <xf numFmtId="49" fontId="53" fillId="0" borderId="0" xfId="14" applyNumberFormat="1" applyFont="1" applyFill="1" applyBorder="1" applyAlignment="1">
      <alignment horizontal="center"/>
    </xf>
    <xf numFmtId="49" fontId="55" fillId="0" borderId="2" xfId="14" applyNumberFormat="1" applyFont="1" applyFill="1" applyBorder="1" applyAlignment="1">
      <alignment horizontal="center" vertical="center" wrapText="1"/>
    </xf>
    <xf numFmtId="38" fontId="53" fillId="0" borderId="0" xfId="16" applyNumberFormat="1" applyFont="1" applyFill="1" applyAlignment="1">
      <alignment wrapText="1"/>
    </xf>
    <xf numFmtId="38" fontId="12" fillId="0" borderId="0" xfId="16" applyNumberFormat="1" applyFont="1" applyFill="1" applyAlignment="1">
      <alignment wrapText="1"/>
    </xf>
    <xf numFmtId="49" fontId="53" fillId="0" borderId="0" xfId="14" applyNumberFormat="1" applyFont="1" applyFill="1" applyAlignment="1">
      <alignment wrapText="1"/>
    </xf>
    <xf numFmtId="49" fontId="55" fillId="0" borderId="0" xfId="14" applyNumberFormat="1" applyFont="1" applyFill="1" applyBorder="1" applyAlignment="1">
      <alignment horizontal="center"/>
    </xf>
    <xf numFmtId="38" fontId="4" fillId="0" borderId="108" xfId="16" applyNumberFormat="1" applyFont="1" applyFill="1" applyBorder="1" applyAlignment="1">
      <alignment vertical="center"/>
    </xf>
    <xf numFmtId="38" fontId="4" fillId="0" borderId="123" xfId="16" applyNumberFormat="1" applyFont="1" applyFill="1" applyBorder="1" applyAlignment="1">
      <alignment vertical="center"/>
    </xf>
    <xf numFmtId="38" fontId="4" fillId="0" borderId="108" xfId="16" applyNumberFormat="1" applyFont="1" applyBorder="1" applyAlignment="1">
      <alignment horizontal="right" vertical="center"/>
    </xf>
    <xf numFmtId="38" fontId="4" fillId="0" borderId="123" xfId="16" applyNumberFormat="1" applyFont="1" applyBorder="1" applyAlignment="1">
      <alignment horizontal="right" vertical="center"/>
    </xf>
    <xf numFmtId="38" fontId="4" fillId="0" borderId="123" xfId="16" applyNumberFormat="1" applyFont="1" applyBorder="1" applyAlignment="1">
      <alignment vertical="center"/>
    </xf>
    <xf numFmtId="38" fontId="5" fillId="25" borderId="143" xfId="14" applyNumberFormat="1" applyFont="1" applyFill="1" applyBorder="1" applyAlignment="1">
      <alignment vertical="center"/>
    </xf>
    <xf numFmtId="3" fontId="5" fillId="25" borderId="143" xfId="14" applyNumberFormat="1" applyFont="1" applyFill="1" applyBorder="1" applyAlignment="1">
      <alignment horizontal="right" vertical="center"/>
    </xf>
    <xf numFmtId="0" fontId="4" fillId="0" borderId="144" xfId="14" applyFont="1" applyBorder="1" applyAlignment="1">
      <alignment horizontal="center" vertical="center"/>
    </xf>
    <xf numFmtId="38" fontId="4" fillId="0" borderId="116" xfId="16" applyNumberFormat="1" applyFont="1" applyFill="1" applyBorder="1" applyAlignment="1">
      <alignment vertical="center"/>
    </xf>
    <xf numFmtId="38" fontId="4" fillId="0" borderId="117" xfId="16" applyNumberFormat="1" applyFont="1" applyFill="1" applyBorder="1" applyAlignment="1">
      <alignment vertical="center"/>
    </xf>
    <xf numFmtId="38" fontId="4" fillId="0" borderId="116" xfId="16" applyNumberFormat="1" applyFont="1" applyBorder="1" applyAlignment="1">
      <alignment horizontal="right" vertical="center"/>
    </xf>
    <xf numFmtId="38" fontId="4" fillId="0" borderId="109" xfId="16" applyNumberFormat="1" applyFont="1" applyBorder="1" applyAlignment="1">
      <alignment horizontal="right" vertical="center"/>
    </xf>
    <xf numFmtId="38" fontId="5" fillId="25" borderId="113" xfId="16" applyNumberFormat="1" applyFont="1" applyFill="1" applyBorder="1" applyAlignment="1">
      <alignment vertical="center"/>
    </xf>
    <xf numFmtId="38" fontId="4" fillId="0" borderId="117" xfId="16" applyNumberFormat="1" applyFont="1" applyBorder="1" applyAlignment="1">
      <alignment vertical="center"/>
    </xf>
    <xf numFmtId="38" fontId="5" fillId="25" borderId="110" xfId="14" applyNumberFormat="1" applyFont="1" applyFill="1" applyBorder="1" applyAlignment="1">
      <alignment vertical="center"/>
    </xf>
    <xf numFmtId="38" fontId="4" fillId="0" borderId="117" xfId="16" applyNumberFormat="1" applyFont="1" applyBorder="1" applyAlignment="1">
      <alignment horizontal="right" vertical="center"/>
    </xf>
    <xf numFmtId="38" fontId="4" fillId="0" borderId="109" xfId="16" applyNumberFormat="1" applyFont="1" applyBorder="1" applyAlignment="1">
      <alignment vertical="center"/>
    </xf>
    <xf numFmtId="38" fontId="5" fillId="25" borderId="113" xfId="16" applyNumberFormat="1" applyFont="1" applyFill="1" applyBorder="1" applyAlignment="1">
      <alignment horizontal="right" vertical="center"/>
    </xf>
    <xf numFmtId="49" fontId="4" fillId="0" borderId="114" xfId="14" applyNumberFormat="1" applyFont="1" applyBorder="1" applyAlignment="1">
      <alignment horizontal="center" vertical="center"/>
    </xf>
    <xf numFmtId="38" fontId="4" fillId="0" borderId="111" xfId="16" applyNumberFormat="1" applyFont="1" applyFill="1" applyBorder="1" applyAlignment="1">
      <alignment vertical="center"/>
    </xf>
    <xf numFmtId="167" fontId="53" fillId="0" borderId="0" xfId="17" applyNumberFormat="1" applyFont="1" applyFill="1"/>
    <xf numFmtId="38" fontId="4" fillId="0" borderId="116" xfId="16" applyNumberFormat="1" applyFont="1" applyBorder="1" applyAlignment="1">
      <alignment vertical="center"/>
    </xf>
    <xf numFmtId="38" fontId="59" fillId="0" borderId="116" xfId="16" applyNumberFormat="1" applyFont="1" applyBorder="1" applyAlignment="1">
      <alignment vertical="center"/>
    </xf>
    <xf numFmtId="38" fontId="59" fillId="0" borderId="117" xfId="16" applyNumberFormat="1" applyFont="1" applyBorder="1" applyAlignment="1">
      <alignment vertical="center"/>
    </xf>
    <xf numFmtId="38" fontId="60" fillId="25" borderId="113" xfId="16" applyNumberFormat="1" applyFont="1" applyFill="1" applyBorder="1" applyAlignment="1">
      <alignment vertical="center"/>
    </xf>
    <xf numFmtId="38" fontId="59" fillId="0" borderId="116" xfId="16" applyNumberFormat="1" applyFont="1" applyBorder="1" applyAlignment="1">
      <alignment horizontal="right" vertical="center"/>
    </xf>
    <xf numFmtId="38" fontId="59" fillId="0" borderId="117" xfId="16" applyNumberFormat="1" applyFont="1" applyBorder="1" applyAlignment="1">
      <alignment horizontal="right" vertical="center"/>
    </xf>
    <xf numFmtId="38" fontId="60" fillId="25" borderId="113" xfId="16" applyNumberFormat="1" applyFont="1" applyFill="1" applyBorder="1" applyAlignment="1">
      <alignment horizontal="right" vertical="center"/>
    </xf>
    <xf numFmtId="49" fontId="59" fillId="0" borderId="114" xfId="14" applyNumberFormat="1" applyFont="1" applyBorder="1" applyAlignment="1">
      <alignment horizontal="center" vertical="center"/>
    </xf>
    <xf numFmtId="38" fontId="59" fillId="0" borderId="118" xfId="16" applyNumberFormat="1" applyFont="1" applyBorder="1" applyAlignment="1">
      <alignment vertical="center"/>
    </xf>
    <xf numFmtId="38" fontId="59" fillId="0" borderId="119" xfId="16" applyNumberFormat="1" applyFont="1" applyBorder="1" applyAlignment="1">
      <alignment vertical="center"/>
    </xf>
    <xf numFmtId="38" fontId="60" fillId="25" borderId="120" xfId="16" applyNumberFormat="1" applyFont="1" applyFill="1" applyBorder="1" applyAlignment="1">
      <alignment vertical="center"/>
    </xf>
    <xf numFmtId="38" fontId="59" fillId="0" borderId="118" xfId="16" applyNumberFormat="1" applyFont="1" applyBorder="1" applyAlignment="1">
      <alignment horizontal="right" vertical="center"/>
    </xf>
    <xf numFmtId="38" fontId="59" fillId="0" borderId="119" xfId="16" applyNumberFormat="1" applyFont="1" applyBorder="1" applyAlignment="1">
      <alignment horizontal="right" vertical="center"/>
    </xf>
    <xf numFmtId="38" fontId="60" fillId="25" borderId="120" xfId="16" applyNumberFormat="1" applyFont="1" applyFill="1" applyBorder="1" applyAlignment="1">
      <alignment horizontal="right" vertical="center"/>
    </xf>
    <xf numFmtId="38" fontId="12" fillId="0" borderId="57" xfId="16" applyNumberFormat="1" applyFont="1" applyFill="1" applyBorder="1" applyAlignment="1">
      <alignment horizontal="center" vertical="center" wrapText="1"/>
    </xf>
    <xf numFmtId="38" fontId="12" fillId="0" borderId="122" xfId="16" applyNumberFormat="1" applyFont="1" applyFill="1" applyBorder="1" applyAlignment="1">
      <alignment horizontal="center" vertical="center" wrapText="1"/>
    </xf>
    <xf numFmtId="38" fontId="12" fillId="27" borderId="23" xfId="16" applyNumberFormat="1" applyFont="1" applyFill="1" applyBorder="1" applyAlignment="1">
      <alignment horizontal="center" vertical="center" wrapText="1"/>
    </xf>
    <xf numFmtId="38" fontId="12" fillId="3" borderId="57" xfId="16" applyNumberFormat="1" applyFont="1" applyFill="1" applyBorder="1" applyAlignment="1">
      <alignment horizontal="center" vertical="center" wrapText="1"/>
    </xf>
    <xf numFmtId="38" fontId="12" fillId="3" borderId="122" xfId="16" applyNumberFormat="1" applyFont="1" applyFill="1" applyBorder="1" applyAlignment="1">
      <alignment horizontal="center" vertical="center" wrapText="1"/>
    </xf>
    <xf numFmtId="38" fontId="12" fillId="29" borderId="23" xfId="16" applyNumberFormat="1" applyFont="1" applyFill="1" applyBorder="1" applyAlignment="1">
      <alignment horizontal="center" vertical="center" wrapText="1"/>
    </xf>
    <xf numFmtId="49" fontId="12" fillId="0" borderId="57" xfId="14" applyNumberFormat="1" applyFont="1" applyBorder="1" applyAlignment="1">
      <alignment horizontal="center" wrapText="1"/>
    </xf>
    <xf numFmtId="38" fontId="4" fillId="0" borderId="109" xfId="16" applyNumberFormat="1" applyFont="1" applyFill="1" applyBorder="1" applyAlignment="1">
      <alignment vertical="center"/>
    </xf>
    <xf numFmtId="38" fontId="4" fillId="0" borderId="108" xfId="16" applyNumberFormat="1" applyFont="1" applyBorder="1" applyAlignment="1">
      <alignment vertical="center"/>
    </xf>
    <xf numFmtId="38" fontId="4" fillId="0" borderId="111" xfId="16" applyNumberFormat="1" applyFont="1" applyBorder="1" applyAlignment="1">
      <alignment vertical="center"/>
    </xf>
    <xf numFmtId="3" fontId="53" fillId="0" borderId="0" xfId="17" applyNumberFormat="1" applyFont="1" applyFill="1"/>
    <xf numFmtId="38" fontId="4" fillId="0" borderId="124" xfId="16" applyNumberFormat="1" applyFont="1" applyFill="1" applyBorder="1" applyAlignment="1">
      <alignment vertical="center"/>
    </xf>
    <xf numFmtId="38" fontId="4" fillId="0" borderId="125" xfId="16" applyNumberFormat="1" applyFont="1" applyFill="1" applyBorder="1" applyAlignment="1">
      <alignment vertical="center"/>
    </xf>
    <xf numFmtId="38" fontId="4" fillId="0" borderId="127" xfId="16" applyNumberFormat="1" applyFont="1" applyFill="1" applyBorder="1" applyAlignment="1">
      <alignment vertical="center"/>
    </xf>
    <xf numFmtId="38" fontId="4" fillId="0" borderId="128" xfId="16" applyNumberFormat="1" applyFont="1" applyFill="1" applyBorder="1" applyAlignment="1">
      <alignment vertical="center"/>
    </xf>
    <xf numFmtId="38" fontId="4" fillId="0" borderId="131" xfId="16" applyNumberFormat="1" applyFont="1" applyFill="1" applyBorder="1" applyAlignment="1">
      <alignment vertical="center"/>
    </xf>
    <xf numFmtId="38" fontId="4" fillId="0" borderId="132" xfId="16" applyNumberFormat="1" applyFont="1" applyFill="1" applyBorder="1" applyAlignment="1">
      <alignment vertical="center"/>
    </xf>
    <xf numFmtId="49" fontId="4" fillId="0" borderId="134" xfId="14" applyNumberFormat="1" applyFont="1" applyBorder="1" applyAlignment="1">
      <alignment horizontal="center" vertical="center"/>
    </xf>
    <xf numFmtId="49" fontId="12" fillId="0" borderId="121" xfId="14" applyNumberFormat="1" applyFont="1" applyBorder="1" applyAlignment="1">
      <alignment horizontal="center" wrapText="1"/>
    </xf>
    <xf numFmtId="38" fontId="4" fillId="0" borderId="135" xfId="16" applyNumberFormat="1" applyFont="1" applyFill="1" applyBorder="1" applyAlignment="1">
      <alignment vertical="center"/>
    </xf>
    <xf numFmtId="38" fontId="4" fillId="0" borderId="136" xfId="16" applyNumberFormat="1" applyFont="1" applyFill="1" applyBorder="1" applyAlignment="1">
      <alignment vertical="center"/>
    </xf>
    <xf numFmtId="49" fontId="4" fillId="0" borderId="138" xfId="14" applyNumberFormat="1" applyFont="1" applyBorder="1" applyAlignment="1">
      <alignment horizontal="center" vertical="center"/>
    </xf>
    <xf numFmtId="49" fontId="4" fillId="0" borderId="114" xfId="14" applyNumberFormat="1" applyBorder="1" applyAlignment="1">
      <alignment horizontal="center" vertical="center"/>
    </xf>
    <xf numFmtId="38" fontId="59" fillId="0" borderId="139" xfId="16" applyNumberFormat="1" applyFont="1" applyBorder="1" applyAlignment="1">
      <alignment vertical="center"/>
    </xf>
    <xf numFmtId="38" fontId="59" fillId="0" borderId="140" xfId="16" applyNumberFormat="1" applyFont="1" applyBorder="1" applyAlignment="1">
      <alignment vertical="center"/>
    </xf>
    <xf numFmtId="38" fontId="60" fillId="25" borderId="141" xfId="16" applyNumberFormat="1" applyFont="1" applyFill="1" applyBorder="1" applyAlignment="1">
      <alignment vertical="center"/>
    </xf>
    <xf numFmtId="38" fontId="59" fillId="0" borderId="139" xfId="16" applyNumberFormat="1" applyFont="1" applyBorder="1" applyAlignment="1">
      <alignment horizontal="right" vertical="center"/>
    </xf>
    <xf numFmtId="38" fontId="59" fillId="0" borderId="140" xfId="16" applyNumberFormat="1" applyFont="1" applyBorder="1" applyAlignment="1">
      <alignment horizontal="right" vertical="center"/>
    </xf>
    <xf numFmtId="38" fontId="60" fillId="25" borderId="141" xfId="16" applyNumberFormat="1" applyFont="1" applyFill="1" applyBorder="1" applyAlignment="1">
      <alignment horizontal="right" vertical="center"/>
    </xf>
    <xf numFmtId="49" fontId="59" fillId="0" borderId="142" xfId="14" applyNumberFormat="1" applyFont="1" applyBorder="1" applyAlignment="1">
      <alignment horizontal="center" vertical="center"/>
    </xf>
    <xf numFmtId="38" fontId="53" fillId="0" borderId="122" xfId="16" applyNumberFormat="1" applyFont="1" applyFill="1" applyBorder="1" applyAlignment="1">
      <alignment horizontal="center" vertical="center" wrapText="1"/>
    </xf>
    <xf numFmtId="38" fontId="53" fillId="3" borderId="57" xfId="16" applyNumberFormat="1" applyFont="1" applyFill="1" applyBorder="1" applyAlignment="1">
      <alignment horizontal="center" vertical="center" wrapText="1"/>
    </xf>
    <xf numFmtId="38" fontId="53" fillId="3" borderId="122" xfId="16" applyNumberFormat="1" applyFont="1" applyFill="1" applyBorder="1" applyAlignment="1">
      <alignment horizontal="center" vertical="center" wrapText="1"/>
    </xf>
    <xf numFmtId="0" fontId="4" fillId="0" borderId="0" xfId="13" applyBorder="1"/>
    <xf numFmtId="8" fontId="10" fillId="0" borderId="0" xfId="1" applyFont="1" applyBorder="1"/>
    <xf numFmtId="0" fontId="10" fillId="0" borderId="0" xfId="13" applyFont="1" applyBorder="1"/>
    <xf numFmtId="0" fontId="10" fillId="0" borderId="0" xfId="13" applyFont="1" applyBorder="1" applyAlignment="1">
      <alignment horizontal="left"/>
    </xf>
    <xf numFmtId="6" fontId="9" fillId="30" borderId="148" xfId="1" applyNumberFormat="1" applyFont="1" applyFill="1" applyBorder="1"/>
    <xf numFmtId="6" fontId="10" fillId="0" borderId="149" xfId="1" applyNumberFormat="1" applyFont="1" applyBorder="1"/>
    <xf numFmtId="5" fontId="10" fillId="0" borderId="98" xfId="1" applyNumberFormat="1" applyFont="1" applyBorder="1"/>
    <xf numFmtId="38" fontId="9" fillId="30" borderId="150" xfId="16" applyNumberFormat="1" applyFont="1" applyFill="1" applyBorder="1"/>
    <xf numFmtId="38" fontId="10" fillId="0" borderId="151" xfId="16" applyNumberFormat="1" applyFont="1" applyBorder="1"/>
    <xf numFmtId="38" fontId="1" fillId="0" borderId="20" xfId="0" applyNumberFormat="1" applyFont="1" applyBorder="1" applyAlignment="1">
      <alignment vertical="center"/>
    </xf>
    <xf numFmtId="0" fontId="10" fillId="0" borderId="20" xfId="2" applyFont="1" applyFill="1" applyBorder="1" applyAlignment="1">
      <alignment horizontal="left"/>
    </xf>
    <xf numFmtId="0" fontId="10" fillId="0" borderId="1" xfId="13" applyFont="1" applyBorder="1" applyAlignment="1">
      <alignment horizontal="left"/>
    </xf>
    <xf numFmtId="6" fontId="10" fillId="0" borderId="39" xfId="1" applyNumberFormat="1" applyFont="1" applyBorder="1"/>
    <xf numFmtId="5" fontId="10" fillId="0" borderId="40" xfId="1" applyNumberFormat="1" applyFont="1" applyBorder="1"/>
    <xf numFmtId="38" fontId="10" fillId="0" borderId="39" xfId="16" applyNumberFormat="1" applyFont="1" applyBorder="1"/>
    <xf numFmtId="38" fontId="1" fillId="0" borderId="2" xfId="0" applyNumberFormat="1" applyFont="1" applyBorder="1" applyAlignment="1">
      <alignment vertical="center"/>
    </xf>
    <xf numFmtId="0" fontId="10" fillId="0" borderId="2" xfId="2" applyFont="1" applyFill="1" applyBorder="1" applyAlignment="1">
      <alignment horizontal="left"/>
    </xf>
    <xf numFmtId="6" fontId="10" fillId="0" borderId="152" xfId="1" applyNumberFormat="1" applyFont="1" applyBorder="1"/>
    <xf numFmtId="5" fontId="10" fillId="0" borderId="25" xfId="1" applyNumberFormat="1" applyFont="1" applyBorder="1"/>
    <xf numFmtId="38" fontId="10" fillId="0" borderId="153" xfId="13" applyNumberFormat="1" applyFont="1" applyBorder="1"/>
    <xf numFmtId="38" fontId="1" fillId="0" borderId="16" xfId="0" applyNumberFormat="1" applyFont="1" applyBorder="1" applyAlignment="1">
      <alignment vertical="center"/>
    </xf>
    <xf numFmtId="0" fontId="10" fillId="0" borderId="25" xfId="2" applyFont="1" applyFill="1" applyBorder="1" applyAlignment="1">
      <alignment horizontal="left"/>
    </xf>
    <xf numFmtId="0" fontId="10" fillId="0" borderId="20" xfId="13" applyFont="1" applyBorder="1" applyAlignment="1">
      <alignment horizontal="left"/>
    </xf>
    <xf numFmtId="38" fontId="9" fillId="30" borderId="155" xfId="16" applyNumberFormat="1" applyFont="1" applyFill="1" applyBorder="1"/>
    <xf numFmtId="165" fontId="10" fillId="0" borderId="40" xfId="1" applyNumberFormat="1" applyFont="1" applyBorder="1"/>
    <xf numFmtId="38" fontId="10" fillId="0" borderId="105" xfId="16" applyNumberFormat="1" applyFont="1" applyBorder="1"/>
    <xf numFmtId="38" fontId="1" fillId="0" borderId="20" xfId="16" applyNumberFormat="1" applyFont="1" applyBorder="1" applyAlignment="1">
      <alignment vertical="center"/>
    </xf>
    <xf numFmtId="38" fontId="1" fillId="0" borderId="2" xfId="16" applyNumberFormat="1" applyFont="1" applyBorder="1" applyAlignment="1">
      <alignment vertical="center"/>
    </xf>
    <xf numFmtId="0" fontId="10" fillId="0" borderId="39" xfId="16" applyNumberFormat="1" applyFont="1" applyBorder="1"/>
    <xf numFmtId="0" fontId="10" fillId="10" borderId="2" xfId="2" applyFont="1" applyFill="1" applyBorder="1" applyAlignment="1">
      <alignment horizontal="left"/>
    </xf>
    <xf numFmtId="165" fontId="10" fillId="0" borderId="25" xfId="1" applyNumberFormat="1" applyFont="1" applyBorder="1"/>
    <xf numFmtId="0" fontId="10" fillId="0" borderId="153" xfId="13" applyFont="1" applyBorder="1"/>
    <xf numFmtId="38" fontId="10" fillId="0" borderId="1" xfId="16" applyNumberFormat="1" applyFont="1" applyBorder="1"/>
    <xf numFmtId="38" fontId="10" fillId="0" borderId="2" xfId="16" applyNumberFormat="1" applyFont="1" applyBorder="1"/>
    <xf numFmtId="38" fontId="10" fillId="0" borderId="25" xfId="13" applyNumberFormat="1" applyFont="1" applyBorder="1"/>
    <xf numFmtId="6" fontId="9" fillId="30" borderId="159" xfId="1" applyNumberFormat="1" applyFont="1" applyFill="1" applyBorder="1"/>
    <xf numFmtId="6" fontId="10" fillId="0" borderId="105" xfId="1" applyNumberFormat="1" applyFont="1" applyBorder="1"/>
    <xf numFmtId="6" fontId="10" fillId="0" borderId="84" xfId="1" applyNumberFormat="1" applyFont="1" applyBorder="1"/>
    <xf numFmtId="38" fontId="9" fillId="30" borderId="160" xfId="16" applyNumberFormat="1" applyFont="1" applyFill="1" applyBorder="1"/>
    <xf numFmtId="0" fontId="10" fillId="0" borderId="1" xfId="2" applyFont="1" applyFill="1" applyBorder="1" applyAlignment="1">
      <alignment horizontal="left"/>
    </xf>
    <xf numFmtId="6" fontId="10" fillId="0" borderId="40" xfId="1" applyNumberFormat="1" applyFont="1" applyBorder="1"/>
    <xf numFmtId="6" fontId="10" fillId="0" borderId="25" xfId="1" applyNumberFormat="1" applyFont="1" applyBorder="1"/>
    <xf numFmtId="0" fontId="5" fillId="0" borderId="0" xfId="13" applyFont="1" applyBorder="1"/>
    <xf numFmtId="40" fontId="5" fillId="0" borderId="0" xfId="13" applyNumberFormat="1" applyFont="1" applyBorder="1"/>
    <xf numFmtId="0" fontId="10" fillId="0" borderId="2" xfId="13" applyFont="1" applyBorder="1" applyAlignment="1">
      <alignment horizontal="left"/>
    </xf>
    <xf numFmtId="6" fontId="9" fillId="30" borderId="162" xfId="1" applyNumberFormat="1" applyFont="1" applyFill="1" applyBorder="1"/>
    <xf numFmtId="6" fontId="10" fillId="0" borderId="104" xfId="1" applyNumberFormat="1" applyFont="1" applyBorder="1"/>
    <xf numFmtId="6" fontId="10" fillId="0" borderId="85" xfId="1" applyNumberFormat="1" applyFont="1" applyBorder="1"/>
    <xf numFmtId="38" fontId="9" fillId="30" borderId="163" xfId="16" applyNumberFormat="1" applyFont="1" applyFill="1" applyBorder="1"/>
    <xf numFmtId="38" fontId="10" fillId="0" borderId="104" xfId="16" applyNumberFormat="1" applyFont="1" applyBorder="1"/>
    <xf numFmtId="38" fontId="10" fillId="0" borderId="16" xfId="16" applyNumberFormat="1" applyFont="1" applyBorder="1"/>
    <xf numFmtId="0" fontId="10" fillId="0" borderId="16" xfId="2" applyFont="1" applyFill="1" applyBorder="1" applyAlignment="1">
      <alignment horizontal="left"/>
    </xf>
    <xf numFmtId="0" fontId="10" fillId="0" borderId="16" xfId="13" applyFont="1" applyBorder="1" applyAlignment="1">
      <alignment horizontal="left"/>
    </xf>
    <xf numFmtId="38" fontId="9" fillId="30" borderId="150" xfId="2" applyNumberFormat="1" applyFont="1" applyFill="1" applyBorder="1"/>
    <xf numFmtId="6" fontId="10" fillId="0" borderId="39" xfId="1" applyNumberFormat="1" applyFont="1" applyFill="1" applyBorder="1"/>
    <xf numFmtId="6" fontId="10" fillId="0" borderId="40" xfId="1" applyNumberFormat="1" applyFont="1" applyFill="1" applyBorder="1"/>
    <xf numFmtId="38" fontId="10" fillId="0" borderId="39" xfId="2" applyNumberFormat="1" applyFont="1" applyFill="1" applyBorder="1"/>
    <xf numFmtId="38" fontId="10" fillId="0" borderId="2" xfId="2" applyNumberFormat="1" applyFont="1" applyFill="1" applyBorder="1"/>
    <xf numFmtId="49" fontId="10" fillId="0" borderId="2" xfId="2" applyNumberFormat="1" applyFont="1" applyFill="1" applyBorder="1" applyAlignment="1">
      <alignment horizontal="left"/>
    </xf>
    <xf numFmtId="38" fontId="0" fillId="0" borderId="0" xfId="0" applyNumberFormat="1"/>
    <xf numFmtId="0" fontId="4" fillId="0" borderId="0" xfId="0" applyFont="1" applyAlignment="1">
      <alignment horizontal="center"/>
    </xf>
    <xf numFmtId="0" fontId="4" fillId="14" borderId="164" xfId="0" applyFont="1" applyFill="1" applyBorder="1" applyAlignment="1">
      <alignment horizontal="center"/>
    </xf>
    <xf numFmtId="0" fontId="4" fillId="14" borderId="165" xfId="2" applyFont="1" applyFill="1" applyBorder="1" applyAlignment="1">
      <alignment horizontal="right"/>
    </xf>
    <xf numFmtId="38" fontId="5" fillId="14" borderId="166" xfId="0" applyNumberFormat="1" applyFont="1" applyFill="1" applyBorder="1"/>
    <xf numFmtId="0" fontId="4" fillId="14" borderId="33" xfId="0" applyFont="1" applyFill="1" applyBorder="1" applyAlignment="1">
      <alignment horizontal="center"/>
    </xf>
    <xf numFmtId="0" fontId="4" fillId="14" borderId="167" xfId="2" applyFont="1" applyFill="1" applyBorder="1" applyAlignment="1">
      <alignment horizontal="right"/>
    </xf>
    <xf numFmtId="38" fontId="5" fillId="14" borderId="168" xfId="0" applyNumberFormat="1" applyFont="1" applyFill="1" applyBorder="1"/>
    <xf numFmtId="0" fontId="4" fillId="14" borderId="169" xfId="0" applyFont="1" applyFill="1" applyBorder="1" applyAlignment="1">
      <alignment horizontal="center"/>
    </xf>
    <xf numFmtId="0" fontId="4" fillId="14" borderId="170" xfId="2" applyFont="1" applyFill="1" applyBorder="1" applyAlignment="1">
      <alignment horizontal="right"/>
    </xf>
    <xf numFmtId="38" fontId="5" fillId="14" borderId="171" xfId="0" applyNumberFormat="1" applyFont="1" applyFill="1" applyBorder="1"/>
    <xf numFmtId="3" fontId="4" fillId="14" borderId="172" xfId="0" applyNumberFormat="1" applyFont="1" applyFill="1" applyBorder="1"/>
    <xf numFmtId="3" fontId="4" fillId="14" borderId="173" xfId="0" applyNumberFormat="1" applyFont="1" applyFill="1" applyBorder="1"/>
    <xf numFmtId="3" fontId="4" fillId="14" borderId="174" xfId="0" applyNumberFormat="1" applyFont="1" applyFill="1" applyBorder="1"/>
    <xf numFmtId="3" fontId="4" fillId="14" borderId="35" xfId="0" applyNumberFormat="1" applyFont="1" applyFill="1" applyBorder="1"/>
    <xf numFmtId="3" fontId="4" fillId="14" borderId="175" xfId="0" applyNumberFormat="1" applyFont="1" applyFill="1" applyBorder="1"/>
    <xf numFmtId="3" fontId="4" fillId="14" borderId="176" xfId="0" applyNumberFormat="1" applyFont="1" applyFill="1" applyBorder="1"/>
    <xf numFmtId="3" fontId="41" fillId="21" borderId="177" xfId="0" applyNumberFormat="1" applyFont="1" applyFill="1" applyBorder="1"/>
    <xf numFmtId="3" fontId="41" fillId="20" borderId="178" xfId="0" applyNumberFormat="1" applyFont="1" applyFill="1" applyBorder="1"/>
    <xf numFmtId="3" fontId="5" fillId="14" borderId="180" xfId="0" applyNumberFormat="1" applyFont="1" applyFill="1" applyBorder="1"/>
    <xf numFmtId="3" fontId="5" fillId="14" borderId="181" xfId="0" applyNumberFormat="1" applyFont="1" applyFill="1" applyBorder="1"/>
    <xf numFmtId="3" fontId="5" fillId="14" borderId="182" xfId="0" applyNumberFormat="1" applyFont="1" applyFill="1" applyBorder="1"/>
    <xf numFmtId="3" fontId="41" fillId="22" borderId="183" xfId="0" applyNumberFormat="1" applyFont="1" applyFill="1" applyBorder="1"/>
    <xf numFmtId="6" fontId="5" fillId="14" borderId="63" xfId="0" applyNumberFormat="1" applyFont="1" applyFill="1" applyBorder="1"/>
    <xf numFmtId="6" fontId="5" fillId="14" borderId="64" xfId="0" applyNumberFormat="1" applyFont="1" applyFill="1" applyBorder="1"/>
    <xf numFmtId="6" fontId="5" fillId="14" borderId="184" xfId="0" applyNumberFormat="1" applyFont="1" applyFill="1" applyBorder="1"/>
    <xf numFmtId="6" fontId="41" fillId="22" borderId="185" xfId="0" applyNumberFormat="1" applyFont="1" applyFill="1" applyBorder="1"/>
    <xf numFmtId="6" fontId="4" fillId="14" borderId="172" xfId="1" applyNumberFormat="1" applyFont="1" applyFill="1" applyBorder="1"/>
    <xf numFmtId="6" fontId="4" fillId="14" borderId="173" xfId="1" applyNumberFormat="1" applyFont="1" applyFill="1" applyBorder="1"/>
    <xf numFmtId="6" fontId="4" fillId="14" borderId="174" xfId="1" applyNumberFormat="1" applyFont="1" applyFill="1" applyBorder="1"/>
    <xf numFmtId="6" fontId="4" fillId="14" borderId="35" xfId="1" applyNumberFormat="1" applyFont="1" applyFill="1" applyBorder="1"/>
    <xf numFmtId="6" fontId="4" fillId="14" borderId="175" xfId="1" applyNumberFormat="1" applyFont="1" applyFill="1" applyBorder="1"/>
    <xf numFmtId="6" fontId="4" fillId="14" borderId="176" xfId="1" applyNumberFormat="1" applyFont="1" applyFill="1" applyBorder="1"/>
    <xf numFmtId="6" fontId="41" fillId="21" borderId="177" xfId="0" applyNumberFormat="1" applyFont="1" applyFill="1" applyBorder="1"/>
    <xf numFmtId="6" fontId="41" fillId="20" borderId="178" xfId="0" applyNumberFormat="1" applyFont="1" applyFill="1" applyBorder="1"/>
    <xf numFmtId="166" fontId="41" fillId="21" borderId="3" xfId="3" applyNumberFormat="1" applyFont="1" applyFill="1" applyBorder="1"/>
    <xf numFmtId="166" fontId="30" fillId="14" borderId="4" xfId="3" applyNumberFormat="1" applyFont="1" applyFill="1" applyBorder="1"/>
    <xf numFmtId="166" fontId="30" fillId="14" borderId="186" xfId="3" applyNumberFormat="1" applyFont="1" applyFill="1" applyBorder="1"/>
    <xf numFmtId="0" fontId="7" fillId="15" borderId="0" xfId="0" applyFont="1" applyFill="1" applyBorder="1" applyAlignment="1">
      <alignment horizontal="center"/>
    </xf>
    <xf numFmtId="0" fontId="4" fillId="14" borderId="30" xfId="0" applyFont="1" applyFill="1" applyBorder="1" applyAlignment="1">
      <alignment horizontal="center"/>
    </xf>
    <xf numFmtId="0" fontId="4" fillId="14" borderId="187" xfId="2" applyFont="1" applyFill="1" applyBorder="1" applyAlignment="1">
      <alignment horizontal="right"/>
    </xf>
    <xf numFmtId="38" fontId="5" fillId="14" borderId="188" xfId="0" applyNumberFormat="1" applyFont="1" applyFill="1" applyBorder="1"/>
    <xf numFmtId="3" fontId="4" fillId="14" borderId="189" xfId="0" applyNumberFormat="1" applyFont="1" applyFill="1" applyBorder="1"/>
    <xf numFmtId="166" fontId="30" fillId="14" borderId="190" xfId="3" applyNumberFormat="1" applyFont="1" applyFill="1" applyBorder="1"/>
    <xf numFmtId="3" fontId="4" fillId="14" borderId="191" xfId="0" applyNumberFormat="1" applyFont="1" applyFill="1" applyBorder="1"/>
    <xf numFmtId="3" fontId="5" fillId="14" borderId="192" xfId="0" applyNumberFormat="1" applyFont="1" applyFill="1" applyBorder="1"/>
    <xf numFmtId="6" fontId="4" fillId="14" borderId="189" xfId="1" applyNumberFormat="1" applyFont="1" applyFill="1" applyBorder="1"/>
    <xf numFmtId="6" fontId="4" fillId="14" borderId="191" xfId="1" applyNumberFormat="1" applyFont="1" applyFill="1" applyBorder="1"/>
    <xf numFmtId="6" fontId="5" fillId="14" borderId="193" xfId="0" applyNumberFormat="1" applyFont="1" applyFill="1" applyBorder="1"/>
    <xf numFmtId="0" fontId="11" fillId="14" borderId="20" xfId="0" applyFont="1" applyFill="1" applyBorder="1" applyAlignment="1">
      <alignment horizontal="center" vertical="top" wrapText="1"/>
    </xf>
    <xf numFmtId="0" fontId="11" fillId="14" borderId="194" xfId="0" applyFont="1" applyFill="1" applyBorder="1" applyAlignment="1">
      <alignment horizontal="right" vertical="top" wrapText="1"/>
    </xf>
    <xf numFmtId="38" fontId="11" fillId="14" borderId="195" xfId="0" applyNumberFormat="1" applyFont="1" applyFill="1" applyBorder="1" applyAlignment="1">
      <alignment horizontal="center" vertical="top" wrapText="1"/>
    </xf>
    <xf numFmtId="38" fontId="11" fillId="14" borderId="196" xfId="0" applyNumberFormat="1" applyFont="1" applyFill="1" applyBorder="1" applyAlignment="1">
      <alignment horizontal="center" vertical="top" wrapText="1"/>
    </xf>
    <xf numFmtId="38" fontId="11" fillId="14" borderId="20" xfId="0" applyNumberFormat="1" applyFont="1" applyFill="1" applyBorder="1" applyAlignment="1">
      <alignment horizontal="center" vertical="top" wrapText="1"/>
    </xf>
    <xf numFmtId="38" fontId="11" fillId="14" borderId="197" xfId="0" applyNumberFormat="1" applyFont="1" applyFill="1" applyBorder="1" applyAlignment="1">
      <alignment horizontal="center" vertical="top" wrapText="1"/>
    </xf>
    <xf numFmtId="38" fontId="11" fillId="14" borderId="179" xfId="0" applyNumberFormat="1" applyFont="1" applyFill="1" applyBorder="1" applyAlignment="1">
      <alignment horizontal="center" vertical="top" wrapText="1"/>
    </xf>
    <xf numFmtId="6" fontId="11" fillId="14" borderId="196" xfId="1" applyNumberFormat="1" applyFont="1" applyFill="1" applyBorder="1" applyAlignment="1">
      <alignment horizontal="center" vertical="top" wrapText="1"/>
    </xf>
    <xf numFmtId="6" fontId="11" fillId="14" borderId="20" xfId="1" applyNumberFormat="1" applyFont="1" applyFill="1" applyBorder="1" applyAlignment="1">
      <alignment horizontal="center" vertical="top" wrapText="1"/>
    </xf>
    <xf numFmtId="38" fontId="11" fillId="14" borderId="194" xfId="0" applyNumberFormat="1" applyFont="1" applyFill="1" applyBorder="1" applyAlignment="1">
      <alignment horizontal="center" vertical="top" wrapText="1"/>
    </xf>
    <xf numFmtId="6" fontId="11" fillId="14" borderId="198" xfId="0" applyNumberFormat="1" applyFont="1" applyFill="1" applyBorder="1" applyAlignment="1">
      <alignment horizontal="center" vertical="top" wrapText="1"/>
    </xf>
    <xf numFmtId="166" fontId="41" fillId="20" borderId="3" xfId="3" applyNumberFormat="1" applyFont="1" applyFill="1" applyBorder="1"/>
    <xf numFmtId="166" fontId="30" fillId="14" borderId="199" xfId="3" applyNumberFormat="1" applyFont="1" applyFill="1" applyBorder="1"/>
    <xf numFmtId="166" fontId="30" fillId="14" borderId="200" xfId="3" applyNumberFormat="1" applyFont="1" applyFill="1" applyBorder="1"/>
    <xf numFmtId="166" fontId="30" fillId="14" borderId="201" xfId="3" applyNumberFormat="1" applyFont="1" applyFill="1" applyBorder="1"/>
    <xf numFmtId="166" fontId="41" fillId="20" borderId="202" xfId="3" applyNumberFormat="1" applyFont="1" applyFill="1" applyBorder="1"/>
    <xf numFmtId="0" fontId="4" fillId="0" borderId="101" xfId="0" applyFont="1" applyBorder="1" applyAlignment="1">
      <alignment wrapText="1"/>
    </xf>
    <xf numFmtId="0" fontId="41" fillId="32" borderId="11" xfId="0" applyFont="1" applyFill="1" applyBorder="1" applyAlignment="1">
      <alignment horizontal="center"/>
    </xf>
    <xf numFmtId="0" fontId="41" fillId="32" borderId="13" xfId="2" applyFont="1" applyFill="1" applyBorder="1" applyAlignment="1">
      <alignment horizontal="right"/>
    </xf>
    <xf numFmtId="38" fontId="41" fillId="33" borderId="27" xfId="0" applyNumberFormat="1" applyFont="1" applyFill="1" applyBorder="1"/>
    <xf numFmtId="3" fontId="4" fillId="14" borderId="2" xfId="0" applyNumberFormat="1" applyFont="1" applyFill="1" applyBorder="1" applyAlignment="1">
      <alignment horizontal="right" vertical="center"/>
    </xf>
    <xf numFmtId="10" fontId="4" fillId="14" borderId="16" xfId="3" applyNumberFormat="1" applyFont="1" applyFill="1" applyBorder="1" applyAlignment="1">
      <alignment horizontal="right" vertical="center"/>
    </xf>
    <xf numFmtId="6" fontId="6" fillId="15" borderId="2" xfId="0" applyNumberFormat="1" applyFont="1" applyFill="1" applyBorder="1" applyAlignment="1">
      <alignment vertical="center"/>
    </xf>
    <xf numFmtId="6" fontId="6" fillId="15" borderId="16" xfId="0" applyNumberFormat="1" applyFont="1" applyFill="1" applyBorder="1" applyAlignment="1">
      <alignment vertical="center"/>
    </xf>
    <xf numFmtId="6" fontId="5" fillId="14" borderId="16" xfId="0" applyNumberFormat="1" applyFont="1" applyFill="1" applyBorder="1" applyAlignment="1">
      <alignment horizontal="right" vertical="center"/>
    </xf>
    <xf numFmtId="38" fontId="6" fillId="15" borderId="2" xfId="0" applyNumberFormat="1" applyFont="1" applyFill="1" applyBorder="1" applyAlignment="1">
      <alignment vertical="center"/>
    </xf>
    <xf numFmtId="10" fontId="4" fillId="14" borderId="2" xfId="3" applyNumberFormat="1" applyFont="1" applyFill="1" applyBorder="1" applyAlignment="1">
      <alignment horizontal="right" vertical="center"/>
    </xf>
    <xf numFmtId="10" fontId="6" fillId="15" borderId="2" xfId="3" applyNumberFormat="1" applyFont="1" applyFill="1" applyBorder="1" applyAlignment="1">
      <alignment vertical="center"/>
    </xf>
    <xf numFmtId="38" fontId="5" fillId="14" borderId="2" xfId="0" applyNumberFormat="1" applyFont="1" applyFill="1" applyBorder="1" applyAlignment="1">
      <alignment horizontal="center" vertical="center"/>
    </xf>
    <xf numFmtId="6" fontId="5" fillId="14" borderId="2" xfId="0" applyNumberFormat="1" applyFont="1" applyFill="1" applyBorder="1" applyAlignment="1">
      <alignment horizontal="right" vertical="center"/>
    </xf>
    <xf numFmtId="38" fontId="5" fillId="34" borderId="16" xfId="0" applyNumberFormat="1" applyFont="1" applyFill="1" applyBorder="1" applyAlignment="1">
      <alignment horizontal="center" vertical="center"/>
    </xf>
    <xf numFmtId="38" fontId="5" fillId="34" borderId="2" xfId="0" applyNumberFormat="1" applyFont="1" applyFill="1" applyBorder="1" applyAlignment="1">
      <alignment horizontal="center" vertical="center"/>
    </xf>
    <xf numFmtId="3" fontId="4" fillId="35" borderId="2" xfId="0" applyNumberFormat="1" applyFont="1" applyFill="1" applyBorder="1" applyAlignment="1">
      <alignment horizontal="right" vertical="center"/>
    </xf>
    <xf numFmtId="10" fontId="6" fillId="36" borderId="2" xfId="3" applyNumberFormat="1" applyFont="1" applyFill="1" applyBorder="1" applyAlignment="1">
      <alignment vertical="center"/>
    </xf>
    <xf numFmtId="3" fontId="4" fillId="37" borderId="16" xfId="0" applyNumberFormat="1" applyFont="1" applyFill="1" applyBorder="1" applyAlignment="1">
      <alignment horizontal="right" vertical="center"/>
    </xf>
    <xf numFmtId="10" fontId="4" fillId="37" borderId="2" xfId="3" applyNumberFormat="1" applyFont="1" applyFill="1" applyBorder="1" applyAlignment="1">
      <alignment horizontal="right" vertical="center"/>
    </xf>
    <xf numFmtId="6" fontId="6" fillId="38" borderId="2" xfId="0" applyNumberFormat="1" applyFont="1" applyFill="1" applyBorder="1" applyAlignment="1">
      <alignment vertical="center"/>
    </xf>
    <xf numFmtId="10" fontId="6" fillId="38" borderId="16" xfId="3" applyNumberFormat="1" applyFont="1" applyFill="1" applyBorder="1" applyAlignment="1">
      <alignment vertical="center"/>
    </xf>
    <xf numFmtId="6" fontId="6" fillId="36" borderId="2" xfId="0" applyNumberFormat="1" applyFont="1" applyFill="1" applyBorder="1" applyAlignment="1">
      <alignment vertical="center"/>
    </xf>
    <xf numFmtId="10" fontId="6" fillId="36" borderId="16" xfId="3" applyNumberFormat="1" applyFont="1" applyFill="1" applyBorder="1" applyAlignment="1">
      <alignment vertical="center"/>
    </xf>
    <xf numFmtId="6" fontId="5" fillId="34" borderId="2" xfId="0" applyNumberFormat="1" applyFont="1" applyFill="1" applyBorder="1" applyAlignment="1">
      <alignment horizontal="right" vertical="center"/>
    </xf>
    <xf numFmtId="3" fontId="4" fillId="39" borderId="2" xfId="0" applyNumberFormat="1" applyFont="1" applyFill="1" applyBorder="1" applyAlignment="1">
      <alignment horizontal="right" vertical="center"/>
    </xf>
    <xf numFmtId="38" fontId="6" fillId="40" borderId="2" xfId="0" applyNumberFormat="1" applyFont="1" applyFill="1" applyBorder="1" applyAlignment="1">
      <alignment vertical="center"/>
    </xf>
    <xf numFmtId="0" fontId="7" fillId="6" borderId="16" xfId="0" applyFont="1" applyFill="1" applyBorder="1" applyAlignment="1">
      <alignment horizontal="center" vertical="center"/>
    </xf>
    <xf numFmtId="0" fontId="7" fillId="2" borderId="2" xfId="0" applyFont="1" applyFill="1" applyBorder="1" applyAlignment="1">
      <alignment horizontal="center" vertical="center"/>
    </xf>
    <xf numFmtId="0" fontId="6" fillId="15" borderId="203" xfId="0" applyFont="1" applyFill="1" applyBorder="1" applyAlignment="1">
      <alignment horizontal="right" vertical="center"/>
    </xf>
    <xf numFmtId="166" fontId="4" fillId="14" borderId="204" xfId="3" applyNumberFormat="1" applyFont="1" applyFill="1" applyBorder="1" applyAlignment="1">
      <alignment horizontal="center" vertical="center"/>
    </xf>
    <xf numFmtId="0" fontId="6" fillId="15" borderId="205" xfId="0" applyFont="1" applyFill="1" applyBorder="1" applyAlignment="1">
      <alignment horizontal="right" vertical="center"/>
    </xf>
    <xf numFmtId="166" fontId="4" fillId="14" borderId="206" xfId="3" applyNumberFormat="1" applyFont="1" applyFill="1" applyBorder="1" applyAlignment="1">
      <alignment horizontal="center" vertical="center"/>
    </xf>
    <xf numFmtId="0" fontId="6" fillId="15" borderId="207" xfId="0" applyFont="1" applyFill="1" applyBorder="1" applyAlignment="1">
      <alignment horizontal="right" vertical="center"/>
    </xf>
    <xf numFmtId="166" fontId="4" fillId="14" borderId="208" xfId="3" applyNumberFormat="1" applyFont="1" applyFill="1" applyBorder="1" applyAlignment="1">
      <alignment horizontal="center" vertical="center"/>
    </xf>
    <xf numFmtId="0" fontId="7" fillId="14" borderId="0" xfId="0" applyFont="1" applyFill="1" applyBorder="1" applyAlignment="1">
      <alignment horizontal="center" vertical="center"/>
    </xf>
    <xf numFmtId="38" fontId="7" fillId="14" borderId="19" xfId="0" applyNumberFormat="1" applyFont="1" applyFill="1" applyBorder="1" applyAlignment="1">
      <alignment vertical="center"/>
    </xf>
    <xf numFmtId="3" fontId="7" fillId="14" borderId="19" xfId="0" applyNumberFormat="1" applyFont="1" applyFill="1" applyBorder="1" applyAlignment="1">
      <alignment horizontal="right" vertical="center"/>
    </xf>
    <xf numFmtId="6" fontId="7" fillId="14" borderId="19" xfId="0" applyNumberFormat="1" applyFont="1" applyFill="1" applyBorder="1" applyAlignment="1">
      <alignment vertical="center"/>
    </xf>
    <xf numFmtId="38" fontId="11" fillId="14" borderId="209" xfId="0" applyNumberFormat="1" applyFont="1" applyFill="1" applyBorder="1" applyAlignment="1">
      <alignment horizontal="center" vertical="top" wrapText="1"/>
    </xf>
    <xf numFmtId="0" fontId="6" fillId="2" borderId="210" xfId="0" applyFont="1" applyFill="1" applyBorder="1" applyAlignment="1" applyProtection="1">
      <alignment vertical="center"/>
      <protection locked="0"/>
    </xf>
    <xf numFmtId="0" fontId="11" fillId="0" borderId="2" xfId="0" applyFont="1" applyBorder="1" applyAlignment="1" applyProtection="1">
      <alignment horizontal="center" wrapText="1"/>
      <protection locked="0"/>
    </xf>
    <xf numFmtId="0" fontId="0" fillId="0" borderId="0" xfId="0" pivotButton="1" applyAlignment="1">
      <alignment horizontal="center" vertical="center" wrapText="1"/>
    </xf>
    <xf numFmtId="0" fontId="0" fillId="0" borderId="2" xfId="0" pivotButton="1" applyBorder="1" applyAlignment="1">
      <alignment horizontal="center" vertical="center" wrapText="1"/>
    </xf>
    <xf numFmtId="0" fontId="0" fillId="0" borderId="0" xfId="0" applyAlignment="1">
      <alignment horizontal="center" vertical="center" wrapText="1"/>
    </xf>
    <xf numFmtId="0" fontId="63" fillId="0" borderId="2" xfId="0" applyFont="1" applyBorder="1" applyAlignment="1">
      <alignment horizontal="center" vertical="center" wrapText="1"/>
    </xf>
    <xf numFmtId="49" fontId="64" fillId="0" borderId="211" xfId="14" applyNumberFormat="1" applyFont="1" applyBorder="1" applyAlignment="1">
      <alignment horizontal="center" textRotation="90" wrapText="1"/>
    </xf>
    <xf numFmtId="49" fontId="64" fillId="0" borderId="0" xfId="14" applyNumberFormat="1" applyFont="1" applyFill="1" applyBorder="1"/>
    <xf numFmtId="49" fontId="64" fillId="0" borderId="0" xfId="14" applyNumberFormat="1" applyFont="1" applyFill="1" applyBorder="1" applyAlignment="1">
      <alignment horizontal="center"/>
    </xf>
    <xf numFmtId="49" fontId="64" fillId="0" borderId="39" xfId="14" applyNumberFormat="1" applyFont="1" applyFill="1" applyBorder="1" applyAlignment="1">
      <alignment horizontal="center" vertical="center" wrapText="1"/>
    </xf>
    <xf numFmtId="49" fontId="64" fillId="0" borderId="0" xfId="14" applyNumberFormat="1" applyFont="1" applyBorder="1"/>
    <xf numFmtId="49" fontId="64" fillId="0" borderId="0" xfId="14" applyNumberFormat="1" applyFont="1" applyBorder="1" applyAlignment="1">
      <alignment horizontal="center" vertical="center"/>
    </xf>
    <xf numFmtId="49" fontId="64" fillId="0" borderId="0" xfId="14" applyNumberFormat="1" applyFont="1" applyBorder="1" applyAlignment="1">
      <alignment horizontal="center" vertical="center" wrapText="1"/>
    </xf>
    <xf numFmtId="49" fontId="64" fillId="0" borderId="213" xfId="14" applyNumberFormat="1" applyFont="1" applyBorder="1" applyAlignment="1">
      <alignment horizontal="center" vertical="center" wrapText="1"/>
    </xf>
    <xf numFmtId="49" fontId="4" fillId="0" borderId="214" xfId="14" applyNumberFormat="1" applyFont="1" applyBorder="1" applyAlignment="1">
      <alignment horizontal="center" vertical="center"/>
    </xf>
    <xf numFmtId="0" fontId="5" fillId="0" borderId="0" xfId="0" pivotButton="1" applyFont="1" applyAlignment="1">
      <alignment horizontal="center"/>
    </xf>
    <xf numFmtId="0" fontId="12" fillId="0" borderId="2" xfId="0" pivotButton="1" applyFont="1" applyBorder="1" applyAlignment="1">
      <alignment horizontal="center" vertical="center" wrapText="1"/>
    </xf>
    <xf numFmtId="0" fontId="12" fillId="0" borderId="2" xfId="0" applyFont="1" applyBorder="1" applyAlignment="1">
      <alignment horizontal="center" vertical="center" wrapText="1"/>
    </xf>
    <xf numFmtId="0" fontId="21" fillId="0" borderId="0" xfId="0" applyFont="1" applyAlignment="1">
      <alignment horizontal="center" vertical="center" wrapText="1"/>
    </xf>
    <xf numFmtId="38" fontId="4" fillId="0" borderId="0" xfId="0" applyNumberFormat="1" applyFont="1" applyAlignment="1">
      <alignment horizontal="center"/>
    </xf>
    <xf numFmtId="0" fontId="39" fillId="18" borderId="0" xfId="0" applyFont="1" applyFill="1" applyAlignment="1">
      <alignment horizontal="center"/>
    </xf>
    <xf numFmtId="166" fontId="4" fillId="0" borderId="0" xfId="0" applyNumberFormat="1" applyFont="1" applyAlignment="1">
      <alignment horizontal="center"/>
    </xf>
    <xf numFmtId="0" fontId="12" fillId="0" borderId="0" xfId="0" applyFont="1" applyAlignment="1">
      <alignment horizontal="center" vertical="center" wrapText="1"/>
    </xf>
    <xf numFmtId="0" fontId="4" fillId="0" borderId="0" xfId="0" applyFont="1" applyAlignment="1">
      <alignment vertical="center" wrapText="1"/>
    </xf>
    <xf numFmtId="0" fontId="9" fillId="10" borderId="56" xfId="2" applyFont="1" applyFill="1" applyBorder="1" applyAlignment="1">
      <alignment horizontal="left"/>
    </xf>
    <xf numFmtId="0" fontId="9" fillId="10" borderId="56" xfId="13" applyFont="1" applyFill="1" applyBorder="1" applyAlignment="1">
      <alignment horizontal="left"/>
    </xf>
    <xf numFmtId="0" fontId="9" fillId="10" borderId="56" xfId="2" applyFont="1" applyFill="1" applyBorder="1" applyAlignment="1">
      <alignment horizontal="right"/>
    </xf>
    <xf numFmtId="0" fontId="9" fillId="10" borderId="3" xfId="2" applyFont="1" applyFill="1" applyBorder="1" applyAlignment="1">
      <alignment horizontal="right"/>
    </xf>
    <xf numFmtId="0" fontId="9" fillId="10" borderId="3" xfId="2" applyFont="1" applyFill="1" applyBorder="1" applyAlignment="1">
      <alignment horizontal="left"/>
    </xf>
    <xf numFmtId="0" fontId="9" fillId="10" borderId="147" xfId="2" applyFont="1" applyFill="1" applyBorder="1" applyAlignment="1">
      <alignment horizontal="right"/>
    </xf>
    <xf numFmtId="38" fontId="9" fillId="5" borderId="56" xfId="16" applyNumberFormat="1" applyFont="1" applyFill="1" applyBorder="1"/>
    <xf numFmtId="6" fontId="9" fillId="5" borderId="55" xfId="1" applyNumberFormat="1" applyFont="1" applyFill="1" applyBorder="1"/>
    <xf numFmtId="38" fontId="9" fillId="5" borderId="3" xfId="16" applyNumberFormat="1" applyFont="1" applyFill="1" applyBorder="1"/>
    <xf numFmtId="165" fontId="9" fillId="5" borderId="3" xfId="16" applyNumberFormat="1" applyFont="1" applyFill="1" applyBorder="1"/>
    <xf numFmtId="6" fontId="9" fillId="5" borderId="56" xfId="1" applyNumberFormat="1" applyFont="1" applyFill="1" applyBorder="1"/>
    <xf numFmtId="165" fontId="9" fillId="5" borderId="56" xfId="1" applyNumberFormat="1" applyFont="1" applyFill="1" applyBorder="1"/>
    <xf numFmtId="6" fontId="9" fillId="5" borderId="161" xfId="1" applyNumberFormat="1" applyFont="1" applyFill="1" applyBorder="1"/>
    <xf numFmtId="6" fontId="9" fillId="43" borderId="157" xfId="1" applyNumberFormat="1" applyFont="1" applyFill="1" applyBorder="1"/>
    <xf numFmtId="6" fontId="9" fillId="43" borderId="53" xfId="1" applyNumberFormat="1" applyFont="1" applyFill="1" applyBorder="1"/>
    <xf numFmtId="165" fontId="9" fillId="43" borderId="56" xfId="1" applyNumberFormat="1" applyFont="1" applyFill="1" applyBorder="1"/>
    <xf numFmtId="6" fontId="9" fillId="43" borderId="56" xfId="1" applyNumberFormat="1" applyFont="1" applyFill="1" applyBorder="1"/>
    <xf numFmtId="165" fontId="9" fillId="43" borderId="3" xfId="16" applyNumberFormat="1" applyFont="1" applyFill="1" applyBorder="1"/>
    <xf numFmtId="38" fontId="9" fillId="43" borderId="3" xfId="16" applyNumberFormat="1" applyFont="1" applyFill="1" applyBorder="1"/>
    <xf numFmtId="38" fontId="9" fillId="43" borderId="56" xfId="16" applyNumberFormat="1" applyFont="1" applyFill="1" applyBorder="1"/>
    <xf numFmtId="38" fontId="9" fillId="43" borderId="158" xfId="16" applyNumberFormat="1" applyFont="1" applyFill="1" applyBorder="1"/>
    <xf numFmtId="38" fontId="9" fillId="43" borderId="53" xfId="16" applyNumberFormat="1" applyFont="1" applyFill="1" applyBorder="1"/>
    <xf numFmtId="38" fontId="9" fillId="7" borderId="156" xfId="16" applyNumberFormat="1" applyFont="1" applyFill="1" applyBorder="1"/>
    <xf numFmtId="38" fontId="9" fillId="7" borderId="150" xfId="2" applyNumberFormat="1" applyFont="1" applyFill="1" applyBorder="1"/>
    <xf numFmtId="38" fontId="9" fillId="7" borderId="146" xfId="16" applyNumberFormat="1" applyFont="1" applyFill="1" applyBorder="1"/>
    <xf numFmtId="6" fontId="9" fillId="7" borderId="154" xfId="1" applyNumberFormat="1" applyFont="1" applyFill="1" applyBorder="1"/>
    <xf numFmtId="6" fontId="9" fillId="7" borderId="145" xfId="1" applyNumberFormat="1" applyFont="1" applyFill="1" applyBorder="1"/>
    <xf numFmtId="166" fontId="21" fillId="14" borderId="204" xfId="3" applyNumberFormat="1" applyFont="1" applyFill="1" applyBorder="1" applyAlignment="1">
      <alignment horizontal="center" vertical="center"/>
    </xf>
    <xf numFmtId="166" fontId="21" fillId="14" borderId="206" xfId="3" applyNumberFormat="1" applyFont="1" applyFill="1" applyBorder="1" applyAlignment="1">
      <alignment horizontal="center" vertical="center"/>
    </xf>
    <xf numFmtId="166" fontId="21" fillId="14" borderId="208" xfId="3" applyNumberFormat="1" applyFont="1" applyFill="1" applyBorder="1" applyAlignment="1">
      <alignment horizontal="center" vertical="center"/>
    </xf>
    <xf numFmtId="6" fontId="21" fillId="0" borderId="0" xfId="0" applyNumberFormat="1" applyFont="1"/>
    <xf numFmtId="6" fontId="21" fillId="0" borderId="0" xfId="0" applyNumberFormat="1" applyFont="1" applyProtection="1">
      <protection locked="0"/>
    </xf>
    <xf numFmtId="6" fontId="21" fillId="14" borderId="198" xfId="0" applyNumberFormat="1" applyFont="1" applyFill="1" applyBorder="1" applyAlignment="1">
      <alignment horizontal="center" vertical="top" wrapText="1"/>
    </xf>
    <xf numFmtId="6" fontId="21" fillId="14" borderId="193" xfId="0" applyNumberFormat="1" applyFont="1" applyFill="1" applyBorder="1"/>
    <xf numFmtId="6" fontId="21" fillId="14" borderId="64" xfId="0" applyNumberFormat="1" applyFont="1" applyFill="1" applyBorder="1"/>
    <xf numFmtId="6" fontId="21" fillId="14" borderId="184" xfId="0" applyNumberFormat="1" applyFont="1" applyFill="1" applyBorder="1"/>
    <xf numFmtId="6" fontId="66" fillId="22" borderId="185" xfId="0" applyNumberFormat="1" applyFont="1" applyFill="1" applyBorder="1"/>
    <xf numFmtId="6" fontId="21" fillId="14" borderId="63" xfId="0" applyNumberFormat="1" applyFont="1" applyFill="1" applyBorder="1"/>
    <xf numFmtId="6" fontId="21" fillId="14" borderId="0" xfId="0" applyNumberFormat="1" applyFont="1" applyFill="1" applyBorder="1"/>
    <xf numFmtId="6" fontId="21" fillId="14" borderId="16" xfId="0" applyNumberFormat="1" applyFont="1" applyFill="1" applyBorder="1" applyAlignment="1">
      <alignment horizontal="right" vertical="center"/>
    </xf>
    <xf numFmtId="6" fontId="21" fillId="34" borderId="2" xfId="0" applyNumberFormat="1" applyFont="1" applyFill="1" applyBorder="1" applyAlignment="1">
      <alignment horizontal="right" vertical="center"/>
    </xf>
    <xf numFmtId="6" fontId="21" fillId="14" borderId="2" xfId="0" applyNumberFormat="1" applyFont="1" applyFill="1" applyBorder="1" applyAlignment="1">
      <alignment horizontal="right" vertical="center"/>
    </xf>
    <xf numFmtId="6" fontId="67" fillId="7" borderId="83" xfId="0" applyNumberFormat="1" applyFont="1" applyFill="1" applyBorder="1" applyAlignment="1">
      <alignment vertical="center"/>
    </xf>
    <xf numFmtId="6" fontId="67" fillId="5" borderId="16" xfId="0" applyNumberFormat="1" applyFont="1" applyFill="1" applyBorder="1" applyAlignment="1">
      <alignment vertical="center"/>
    </xf>
    <xf numFmtId="6" fontId="67" fillId="14" borderId="19" xfId="0" applyNumberFormat="1" applyFont="1" applyFill="1" applyBorder="1" applyAlignment="1">
      <alignment vertical="center"/>
    </xf>
    <xf numFmtId="40" fontId="69" fillId="0" borderId="0" xfId="5" applyNumberFormat="1" applyFont="1" applyBorder="1"/>
    <xf numFmtId="49" fontId="62" fillId="31" borderId="2" xfId="2" applyNumberFormat="1" applyFont="1" applyFill="1" applyBorder="1" applyAlignment="1">
      <alignment horizontal="left" wrapText="1"/>
    </xf>
    <xf numFmtId="4" fontId="50" fillId="18" borderId="2" xfId="2" applyNumberFormat="1" applyFont="1" applyFill="1" applyBorder="1" applyAlignment="1">
      <alignment horizontal="center" wrapText="1"/>
    </xf>
    <xf numFmtId="4" fontId="50" fillId="42" borderId="39" xfId="2" applyNumberFormat="1" applyFont="1" applyFill="1" applyBorder="1" applyAlignment="1">
      <alignment horizontal="center" wrapText="1"/>
    </xf>
    <xf numFmtId="4" fontId="50" fillId="22" borderId="150" xfId="2" applyNumberFormat="1" applyFont="1" applyFill="1" applyBorder="1" applyAlignment="1">
      <alignment horizontal="center" wrapText="1"/>
    </xf>
    <xf numFmtId="8" fontId="50" fillId="18" borderId="40" xfId="1" applyFont="1" applyFill="1" applyBorder="1" applyAlignment="1">
      <alignment horizontal="center" wrapText="1"/>
    </xf>
    <xf numFmtId="8" fontId="50" fillId="42" borderId="39" xfId="1" applyFont="1" applyFill="1" applyBorder="1" applyAlignment="1">
      <alignment horizontal="center" wrapText="1"/>
    </xf>
    <xf numFmtId="8" fontId="50" fillId="22" borderId="148" xfId="1" applyFont="1" applyFill="1" applyBorder="1" applyAlignment="1">
      <alignment horizontal="center" wrapText="1"/>
    </xf>
    <xf numFmtId="0" fontId="61" fillId="0" borderId="0" xfId="2" applyFont="1" applyFill="1" applyBorder="1" applyAlignment="1">
      <alignment wrapText="1"/>
    </xf>
    <xf numFmtId="40" fontId="68" fillId="0" borderId="0" xfId="5" applyNumberFormat="1" applyFont="1" applyFill="1" applyBorder="1" applyAlignment="1">
      <alignment horizontal="center" vertical="center" wrapText="1"/>
    </xf>
    <xf numFmtId="6" fontId="21" fillId="14" borderId="0" xfId="0" applyNumberFormat="1" applyFont="1" applyFill="1" applyAlignment="1">
      <alignment horizontal="center"/>
    </xf>
    <xf numFmtId="6" fontId="39" fillId="41" borderId="97" xfId="0" applyNumberFormat="1" applyFont="1" applyFill="1" applyBorder="1" applyAlignment="1">
      <alignment horizontal="center" vertical="top" wrapText="1"/>
    </xf>
    <xf numFmtId="8" fontId="4" fillId="0" borderId="215" xfId="0" applyNumberFormat="1" applyFont="1" applyBorder="1" applyAlignment="1">
      <alignment vertical="center"/>
    </xf>
    <xf numFmtId="8" fontId="4" fillId="0" borderId="191" xfId="0" applyNumberFormat="1" applyFont="1" applyBorder="1" applyAlignment="1">
      <alignment vertical="center"/>
    </xf>
    <xf numFmtId="0" fontId="12" fillId="0" borderId="20" xfId="0" applyFont="1" applyBorder="1" applyAlignment="1">
      <alignment horizontal="center" vertical="center" wrapText="1"/>
    </xf>
    <xf numFmtId="0" fontId="12" fillId="0" borderId="3" xfId="0" applyFont="1" applyBorder="1" applyAlignment="1">
      <alignment horizontal="center" vertical="center" wrapText="1"/>
    </xf>
    <xf numFmtId="38" fontId="32" fillId="14" borderId="81" xfId="0" applyNumberFormat="1" applyFont="1" applyFill="1" applyBorder="1"/>
    <xf numFmtId="6" fontId="32" fillId="14" borderId="81" xfId="0" applyNumberFormat="1" applyFont="1" applyFill="1" applyBorder="1"/>
    <xf numFmtId="38" fontId="4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21" fillId="0" borderId="0" xfId="0" applyFont="1" applyAlignment="1">
      <alignment horizontal="left" vertical="center" wrapText="1"/>
    </xf>
    <xf numFmtId="0" fontId="21" fillId="23" borderId="2" xfId="0" applyFont="1" applyFill="1" applyBorder="1" applyAlignment="1">
      <alignment horizontal="left" vertical="center" wrapText="1"/>
    </xf>
    <xf numFmtId="0" fontId="21" fillId="0" borderId="2" xfId="0" applyFont="1" applyBorder="1" applyAlignment="1">
      <alignment horizontal="left" vertical="center" wrapText="1"/>
    </xf>
    <xf numFmtId="0" fontId="4" fillId="0" borderId="2" xfId="0" applyFont="1" applyBorder="1" applyAlignment="1">
      <alignment horizontal="left" vertical="center" wrapText="1" indent="2"/>
    </xf>
    <xf numFmtId="0" fontId="4" fillId="14" borderId="0" xfId="0" applyFont="1" applyFill="1" applyAlignment="1">
      <alignment vertical="center" wrapText="1"/>
    </xf>
    <xf numFmtId="0" fontId="4" fillId="14" borderId="0" xfId="0" applyFont="1" applyFill="1" applyAlignment="1">
      <alignment horizontal="left" vertical="center" wrapText="1"/>
    </xf>
    <xf numFmtId="0" fontId="21" fillId="14" borderId="0" xfId="0" applyFont="1" applyFill="1" applyAlignment="1">
      <alignment horizontal="left" vertical="center" wrapText="1"/>
    </xf>
    <xf numFmtId="0" fontId="42" fillId="14" borderId="0" xfId="0" applyFont="1" applyFill="1" applyAlignment="1">
      <alignment horizontal="left" vertical="center" wrapText="1"/>
    </xf>
    <xf numFmtId="0" fontId="65" fillId="14" borderId="0" xfId="0" applyFont="1" applyFill="1" applyAlignment="1">
      <alignment horizontal="left" vertical="center" wrapText="1"/>
    </xf>
    <xf numFmtId="0" fontId="11" fillId="14" borderId="0" xfId="0" applyFont="1" applyFill="1" applyAlignment="1">
      <alignment horizontal="center" vertical="center" wrapText="1"/>
    </xf>
    <xf numFmtId="3" fontId="4" fillId="11" borderId="172" xfId="0" applyNumberFormat="1" applyFont="1" applyFill="1" applyBorder="1"/>
    <xf numFmtId="3" fontId="4" fillId="11" borderId="174" xfId="0" applyNumberFormat="1" applyFont="1" applyFill="1" applyBorder="1"/>
    <xf numFmtId="3" fontId="4" fillId="11" borderId="175" xfId="0" applyNumberFormat="1" applyFont="1" applyFill="1" applyBorder="1"/>
    <xf numFmtId="3" fontId="4" fillId="11" borderId="173" xfId="0" applyNumberFormat="1" applyFont="1" applyFill="1" applyBorder="1"/>
    <xf numFmtId="3" fontId="4" fillId="11" borderId="35" xfId="0" applyNumberFormat="1" applyFont="1" applyFill="1" applyBorder="1"/>
    <xf numFmtId="3" fontId="4" fillId="11" borderId="176" xfId="0" applyNumberFormat="1" applyFont="1" applyFill="1" applyBorder="1"/>
    <xf numFmtId="6" fontId="4" fillId="11" borderId="172" xfId="1" applyNumberFormat="1" applyFont="1" applyFill="1" applyBorder="1"/>
    <xf numFmtId="6" fontId="4" fillId="11" borderId="174" xfId="1" applyNumberFormat="1" applyFont="1" applyFill="1" applyBorder="1"/>
    <xf numFmtId="6" fontId="4" fillId="11" borderId="175" xfId="1" applyNumberFormat="1" applyFont="1" applyFill="1" applyBorder="1"/>
    <xf numFmtId="6" fontId="4" fillId="11" borderId="173" xfId="1" applyNumberFormat="1" applyFont="1" applyFill="1" applyBorder="1"/>
    <xf numFmtId="6" fontId="4" fillId="11" borderId="35" xfId="1" applyNumberFormat="1" applyFont="1" applyFill="1" applyBorder="1"/>
    <xf numFmtId="6" fontId="4" fillId="11" borderId="176" xfId="1" applyNumberFormat="1" applyFont="1" applyFill="1" applyBorder="1"/>
    <xf numFmtId="3" fontId="4" fillId="37" borderId="2" xfId="0" applyNumberFormat="1" applyFont="1" applyFill="1" applyBorder="1" applyAlignment="1">
      <alignment horizontal="right" vertical="center"/>
    </xf>
    <xf numFmtId="10" fontId="6" fillId="38" borderId="2" xfId="3" applyNumberFormat="1" applyFont="1" applyFill="1" applyBorder="1" applyAlignment="1">
      <alignment vertical="center"/>
    </xf>
    <xf numFmtId="8" fontId="4" fillId="0" borderId="173" xfId="0" applyNumberFormat="1" applyFont="1" applyBorder="1" applyAlignment="1">
      <alignment vertical="center"/>
    </xf>
    <xf numFmtId="8" fontId="4" fillId="0" borderId="164" xfId="0" applyNumberFormat="1" applyFont="1" applyBorder="1" applyAlignment="1">
      <alignment vertical="center"/>
    </xf>
    <xf numFmtId="38" fontId="5" fillId="14" borderId="0" xfId="0" applyNumberFormat="1" applyFont="1" applyFill="1" applyBorder="1" applyAlignment="1">
      <alignment horizontal="center" vertical="center"/>
    </xf>
    <xf numFmtId="3" fontId="4" fillId="14" borderId="0" xfId="0" applyNumberFormat="1" applyFont="1" applyFill="1" applyBorder="1" applyAlignment="1">
      <alignment horizontal="right" vertical="center"/>
    </xf>
    <xf numFmtId="38" fontId="6" fillId="14" borderId="0" xfId="0" applyNumberFormat="1" applyFont="1" applyFill="1" applyBorder="1" applyAlignment="1">
      <alignment vertical="center"/>
    </xf>
    <xf numFmtId="6" fontId="6" fillId="14" borderId="0" xfId="0" applyNumberFormat="1" applyFont="1" applyFill="1" applyBorder="1" applyAlignment="1">
      <alignment vertical="center"/>
    </xf>
    <xf numFmtId="6" fontId="5" fillId="14" borderId="0" xfId="0" applyNumberFormat="1" applyFont="1" applyFill="1" applyBorder="1" applyAlignment="1">
      <alignment horizontal="center" vertical="center"/>
    </xf>
    <xf numFmtId="6" fontId="21" fillId="14" borderId="0" xfId="0" applyNumberFormat="1" applyFont="1" applyFill="1" applyBorder="1" applyAlignment="1">
      <alignment horizontal="center" vertical="center"/>
    </xf>
    <xf numFmtId="8"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4" fillId="0" borderId="0" xfId="0" applyFont="1" applyBorder="1" applyAlignment="1">
      <alignment vertical="center"/>
    </xf>
    <xf numFmtId="6" fontId="21" fillId="14" borderId="12" xfId="0" applyNumberFormat="1" applyFont="1" applyFill="1" applyBorder="1" applyAlignment="1">
      <alignment horizontal="right" vertical="center"/>
    </xf>
    <xf numFmtId="8" fontId="4" fillId="0" borderId="16" xfId="0" applyNumberFormat="1" applyFont="1" applyBorder="1" applyAlignment="1">
      <alignment vertical="center"/>
    </xf>
    <xf numFmtId="8" fontId="4" fillId="0" borderId="104" xfId="0" applyNumberFormat="1" applyFont="1" applyBorder="1" applyAlignment="1">
      <alignment vertical="center"/>
    </xf>
    <xf numFmtId="0" fontId="21" fillId="0" borderId="0" xfId="0" applyFont="1" applyAlignment="1">
      <alignment vertical="center"/>
    </xf>
    <xf numFmtId="0" fontId="53" fillId="0" borderId="0" xfId="14" applyFont="1" applyAlignment="1">
      <alignment horizontal="center"/>
    </xf>
    <xf numFmtId="167" fontId="53" fillId="0" borderId="0" xfId="14" applyNumberFormat="1" applyFont="1" applyAlignment="1">
      <alignment horizontal="center" vertical="center"/>
    </xf>
    <xf numFmtId="167" fontId="53" fillId="0" borderId="0" xfId="17" applyNumberFormat="1" applyFont="1" applyAlignment="1">
      <alignment horizontal="center"/>
    </xf>
    <xf numFmtId="167" fontId="53" fillId="0" borderId="0" xfId="14" applyNumberFormat="1" applyFont="1" applyAlignment="1">
      <alignment horizontal="center"/>
    </xf>
    <xf numFmtId="3" fontId="53" fillId="0" borderId="0" xfId="17" applyNumberFormat="1" applyFont="1" applyAlignment="1">
      <alignment horizontal="center"/>
    </xf>
    <xf numFmtId="0" fontId="53" fillId="0" borderId="0" xfId="14" applyFont="1" applyFill="1" applyAlignment="1">
      <alignment horizontal="center"/>
    </xf>
    <xf numFmtId="0" fontId="70" fillId="9" borderId="0" xfId="14" applyFont="1" applyFill="1" applyAlignment="1">
      <alignment horizontal="center" wrapText="1"/>
    </xf>
    <xf numFmtId="167" fontId="70" fillId="9" borderId="0" xfId="17" applyNumberFormat="1" applyFont="1" applyFill="1" applyAlignment="1">
      <alignment horizontal="center"/>
    </xf>
    <xf numFmtId="40" fontId="9" fillId="5" borderId="3" xfId="16" applyNumberFormat="1" applyFont="1" applyFill="1" applyBorder="1"/>
    <xf numFmtId="40" fontId="9" fillId="43" borderId="3" xfId="16" applyNumberFormat="1" applyFont="1" applyFill="1" applyBorder="1"/>
    <xf numFmtId="40" fontId="9" fillId="7" borderId="146" xfId="16" applyNumberFormat="1" applyFont="1" applyFill="1" applyBorder="1"/>
    <xf numFmtId="40" fontId="9" fillId="7" borderId="145" xfId="1" applyNumberFormat="1" applyFont="1" applyFill="1" applyBorder="1"/>
    <xf numFmtId="40" fontId="1" fillId="0" borderId="16" xfId="0" applyNumberFormat="1" applyFont="1" applyBorder="1" applyAlignment="1">
      <alignment vertical="center"/>
    </xf>
    <xf numFmtId="40" fontId="10" fillId="0" borderId="153" xfId="13" applyNumberFormat="1" applyFont="1" applyBorder="1"/>
    <xf numFmtId="40" fontId="9" fillId="30" borderId="150" xfId="16" applyNumberFormat="1" applyFont="1" applyFill="1" applyBorder="1"/>
    <xf numFmtId="40" fontId="10" fillId="0" borderId="25" xfId="1" applyNumberFormat="1" applyFont="1" applyBorder="1"/>
    <xf numFmtId="40" fontId="10" fillId="0" borderId="152" xfId="1" applyNumberFormat="1" applyFont="1" applyBorder="1"/>
    <xf numFmtId="40" fontId="9" fillId="30" borderId="148" xfId="1" applyNumberFormat="1" applyFont="1" applyFill="1" applyBorder="1"/>
    <xf numFmtId="40" fontId="1" fillId="0" borderId="2" xfId="0" applyNumberFormat="1" applyFont="1" applyBorder="1" applyAlignment="1">
      <alignment vertical="center"/>
    </xf>
    <xf numFmtId="40" fontId="10" fillId="0" borderId="39" xfId="16" applyNumberFormat="1" applyFont="1" applyBorder="1"/>
    <xf numFmtId="40" fontId="10" fillId="0" borderId="40" xfId="1" applyNumberFormat="1" applyFont="1" applyBorder="1"/>
    <xf numFmtId="40" fontId="10" fillId="0" borderId="39" xfId="1" applyNumberFormat="1" applyFont="1" applyBorder="1"/>
    <xf numFmtId="40" fontId="1" fillId="0" borderId="20" xfId="0" applyNumberFormat="1" applyFont="1" applyBorder="1" applyAlignment="1">
      <alignment vertical="center"/>
    </xf>
    <xf numFmtId="40" fontId="10" fillId="0" borderId="151" xfId="16" applyNumberFormat="1" applyFont="1" applyBorder="1"/>
    <xf numFmtId="40" fontId="10" fillId="0" borderId="98" xfId="1" applyNumberFormat="1" applyFont="1" applyBorder="1"/>
    <xf numFmtId="40" fontId="10" fillId="0" borderId="149" xfId="1" applyNumberFormat="1" applyFont="1" applyBorder="1"/>
    <xf numFmtId="0" fontId="71" fillId="0" borderId="2" xfId="0" applyFont="1" applyBorder="1" applyAlignment="1">
      <alignment horizontal="center" vertical="center" wrapText="1"/>
    </xf>
    <xf numFmtId="0" fontId="72" fillId="14" borderId="0" xfId="0" applyFont="1" applyFill="1" applyAlignment="1">
      <alignment vertical="center" wrapText="1"/>
    </xf>
    <xf numFmtId="0" fontId="21" fillId="0" borderId="2" xfId="0" applyFont="1" applyBorder="1" applyAlignment="1">
      <alignment horizontal="center" vertical="center" wrapText="1"/>
    </xf>
    <xf numFmtId="0" fontId="5" fillId="0" borderId="92" xfId="0" applyFont="1" applyBorder="1"/>
    <xf numFmtId="0" fontId="5" fillId="0" borderId="35" xfId="0" applyFont="1" applyBorder="1"/>
    <xf numFmtId="0" fontId="5" fillId="0" borderId="93" xfId="0" applyFont="1" applyBorder="1"/>
    <xf numFmtId="3" fontId="5" fillId="0" borderId="0" xfId="0" applyNumberFormat="1" applyFont="1" applyFill="1" applyBorder="1" applyAlignment="1">
      <alignment wrapText="1"/>
    </xf>
    <xf numFmtId="0" fontId="5" fillId="0" borderId="99" xfId="0" applyFont="1" applyBorder="1" applyAlignment="1">
      <alignment horizontal="center"/>
    </xf>
    <xf numFmtId="6" fontId="5" fillId="0" borderId="99" xfId="0" applyNumberFormat="1" applyFont="1" applyBorder="1" applyAlignment="1">
      <alignment horizontal="right"/>
    </xf>
    <xf numFmtId="6" fontId="5" fillId="0" borderId="97" xfId="0" applyNumberFormat="1" applyFont="1" applyBorder="1" applyAlignment="1">
      <alignment horizontal="right"/>
    </xf>
    <xf numFmtId="0" fontId="5" fillId="9" borderId="217" xfId="0" applyFont="1" applyFill="1" applyBorder="1"/>
    <xf numFmtId="6" fontId="5" fillId="9" borderId="217" xfId="0" applyNumberFormat="1" applyFont="1" applyFill="1" applyBorder="1"/>
    <xf numFmtId="6" fontId="5" fillId="9" borderId="216" xfId="0" applyNumberFormat="1" applyFont="1" applyFill="1" applyBorder="1" applyAlignment="1">
      <alignment horizontal="right" vertical="center"/>
    </xf>
    <xf numFmtId="0" fontId="71" fillId="23" borderId="2" xfId="0" applyFont="1" applyFill="1" applyBorder="1" applyAlignment="1">
      <alignment horizontal="center" vertical="center" wrapText="1"/>
    </xf>
    <xf numFmtId="49" fontId="58" fillId="0" borderId="115" xfId="14" applyNumberFormat="1" applyFont="1" applyBorder="1" applyAlignment="1">
      <alignment horizontal="center" vertical="center" textRotation="90"/>
    </xf>
    <xf numFmtId="0" fontId="0" fillId="0" borderId="0" xfId="0" applyNumberFormat="1"/>
    <xf numFmtId="0" fontId="0" fillId="0" borderId="0" xfId="0" applyAlignment="1">
      <alignment wrapText="1"/>
    </xf>
    <xf numFmtId="38" fontId="4" fillId="0" borderId="219" xfId="16" applyNumberFormat="1" applyFont="1" applyFill="1" applyBorder="1" applyAlignment="1">
      <alignment vertical="center"/>
    </xf>
    <xf numFmtId="38" fontId="4" fillId="0" borderId="220" xfId="16" applyNumberFormat="1" applyFont="1" applyFill="1" applyBorder="1" applyAlignment="1">
      <alignment vertical="center"/>
    </xf>
    <xf numFmtId="49" fontId="64" fillId="0" borderId="221" xfId="14" applyNumberFormat="1" applyFont="1" applyBorder="1" applyAlignment="1">
      <alignment horizontal="center" textRotation="90" wrapText="1"/>
    </xf>
    <xf numFmtId="49" fontId="12" fillId="0" borderId="222" xfId="14" applyNumberFormat="1" applyFont="1" applyBorder="1" applyAlignment="1">
      <alignment horizontal="center" wrapText="1"/>
    </xf>
    <xf numFmtId="38" fontId="12" fillId="29" borderId="223" xfId="16" applyNumberFormat="1" applyFont="1" applyFill="1" applyBorder="1" applyAlignment="1">
      <alignment horizontal="center" vertical="center" wrapText="1"/>
    </xf>
    <xf numFmtId="38" fontId="12" fillId="3" borderId="224" xfId="16" applyNumberFormat="1" applyFont="1" applyFill="1" applyBorder="1" applyAlignment="1">
      <alignment horizontal="center" vertical="center" wrapText="1"/>
    </xf>
    <xf numFmtId="38" fontId="12" fillId="3" borderId="222" xfId="16" applyNumberFormat="1" applyFont="1" applyFill="1" applyBorder="1" applyAlignment="1">
      <alignment horizontal="center" vertical="center" wrapText="1"/>
    </xf>
    <xf numFmtId="38" fontId="12" fillId="27" borderId="223" xfId="16" applyNumberFormat="1" applyFont="1" applyFill="1" applyBorder="1" applyAlignment="1">
      <alignment horizontal="center" vertical="center" wrapText="1"/>
    </xf>
    <xf numFmtId="38" fontId="12" fillId="0" borderId="224" xfId="16" applyNumberFormat="1" applyFont="1" applyFill="1" applyBorder="1" applyAlignment="1">
      <alignment horizontal="center" vertical="center" wrapText="1"/>
    </xf>
    <xf numFmtId="38" fontId="12" fillId="0" borderId="222" xfId="16" applyNumberFormat="1" applyFont="1" applyFill="1" applyBorder="1" applyAlignment="1">
      <alignment horizontal="center" vertical="center" wrapText="1"/>
    </xf>
    <xf numFmtId="0" fontId="4" fillId="0" borderId="227" xfId="14" applyFont="1" applyBorder="1" applyAlignment="1">
      <alignment horizontal="center" vertical="center"/>
    </xf>
    <xf numFmtId="3" fontId="5" fillId="25" borderId="225" xfId="14" applyNumberFormat="1" applyFont="1" applyFill="1" applyBorder="1" applyAlignment="1">
      <alignment horizontal="right" vertical="center"/>
    </xf>
    <xf numFmtId="38" fontId="5" fillId="25" borderId="225" xfId="14" applyNumberFormat="1" applyFont="1" applyFill="1" applyBorder="1" applyAlignment="1">
      <alignment vertical="center"/>
    </xf>
    <xf numFmtId="49" fontId="4" fillId="17" borderId="227" xfId="14" applyNumberFormat="1" applyFont="1" applyFill="1" applyBorder="1" applyAlignment="1">
      <alignment horizontal="center" vertical="center"/>
    </xf>
    <xf numFmtId="38" fontId="5" fillId="44" borderId="225" xfId="16" applyNumberFormat="1" applyFont="1" applyFill="1" applyBorder="1" applyAlignment="1">
      <alignment horizontal="right" vertical="center"/>
    </xf>
    <xf numFmtId="38" fontId="4" fillId="17" borderId="101" xfId="16" applyNumberFormat="1" applyFont="1" applyFill="1" applyBorder="1" applyAlignment="1">
      <alignment vertical="center"/>
    </xf>
    <xf numFmtId="38" fontId="4" fillId="17" borderId="226" xfId="16" applyNumberFormat="1" applyFont="1" applyFill="1" applyBorder="1" applyAlignment="1">
      <alignment vertical="center"/>
    </xf>
    <xf numFmtId="38" fontId="5" fillId="44" borderId="225" xfId="16" applyNumberFormat="1" applyFont="1" applyFill="1" applyBorder="1" applyAlignment="1">
      <alignment vertical="center"/>
    </xf>
    <xf numFmtId="38" fontId="4" fillId="17" borderId="101" xfId="16" applyNumberFormat="1" applyFont="1" applyFill="1" applyBorder="1" applyAlignment="1">
      <alignment horizontal="right" vertical="center"/>
    </xf>
    <xf numFmtId="38" fontId="4" fillId="17" borderId="226" xfId="16" applyNumberFormat="1" applyFont="1" applyFill="1" applyBorder="1" applyAlignment="1">
      <alignment horizontal="right" vertical="center"/>
    </xf>
    <xf numFmtId="49" fontId="74" fillId="17" borderId="0" xfId="14" applyNumberFormat="1" applyFont="1" applyFill="1" applyBorder="1" applyAlignment="1">
      <alignment horizontal="left" vertical="center"/>
    </xf>
    <xf numFmtId="38" fontId="75" fillId="11" borderId="117" xfId="16" applyNumberFormat="1" applyFont="1" applyFill="1" applyBorder="1" applyAlignment="1">
      <alignment vertical="center"/>
    </xf>
    <xf numFmtId="38" fontId="75" fillId="11" borderId="116" xfId="16" applyNumberFormat="1" applyFont="1" applyFill="1" applyBorder="1" applyAlignment="1">
      <alignment vertical="center"/>
    </xf>
    <xf numFmtId="38" fontId="75" fillId="11" borderId="109" xfId="16" applyNumberFormat="1" applyFont="1" applyFill="1" applyBorder="1" applyAlignment="1">
      <alignment vertical="center"/>
    </xf>
    <xf numFmtId="38" fontId="75" fillId="11" borderId="111" xfId="16" applyNumberFormat="1" applyFont="1" applyFill="1" applyBorder="1" applyAlignment="1">
      <alignment vertical="center"/>
    </xf>
    <xf numFmtId="38" fontId="75" fillId="11" borderId="128" xfId="16" applyNumberFormat="1" applyFont="1" applyFill="1" applyBorder="1" applyAlignment="1">
      <alignment vertical="center"/>
    </xf>
    <xf numFmtId="38" fontId="75" fillId="11" borderId="127" xfId="16" applyNumberFormat="1" applyFont="1" applyFill="1" applyBorder="1" applyAlignment="1">
      <alignment vertical="center"/>
    </xf>
    <xf numFmtId="38" fontId="75" fillId="11" borderId="219" xfId="16" applyNumberFormat="1" applyFont="1" applyFill="1" applyBorder="1" applyAlignment="1">
      <alignment vertical="center"/>
    </xf>
    <xf numFmtId="38" fontId="75" fillId="11" borderId="220" xfId="16" applyNumberFormat="1" applyFont="1" applyFill="1" applyBorder="1" applyAlignment="1">
      <alignment vertical="center"/>
    </xf>
    <xf numFmtId="38" fontId="75" fillId="11" borderId="117" xfId="16" applyNumberFormat="1" applyFont="1" applyFill="1" applyBorder="1" applyAlignment="1">
      <alignment horizontal="right" vertical="center"/>
    </xf>
    <xf numFmtId="38" fontId="75" fillId="11" borderId="116" xfId="16" applyNumberFormat="1" applyFont="1" applyFill="1" applyBorder="1" applyAlignment="1">
      <alignment horizontal="right" vertical="center"/>
    </xf>
    <xf numFmtId="38" fontId="75" fillId="11" borderId="109" xfId="16" applyNumberFormat="1" applyFont="1" applyFill="1" applyBorder="1" applyAlignment="1">
      <alignment horizontal="right" vertical="center"/>
    </xf>
    <xf numFmtId="38" fontId="75" fillId="11" borderId="111" xfId="16" applyNumberFormat="1" applyFont="1" applyFill="1" applyBorder="1" applyAlignment="1">
      <alignment horizontal="right" vertical="center"/>
    </xf>
    <xf numFmtId="38" fontId="75" fillId="11" borderId="128" xfId="16" applyNumberFormat="1" applyFont="1" applyFill="1" applyBorder="1" applyAlignment="1">
      <alignment horizontal="right" vertical="center"/>
    </xf>
    <xf numFmtId="38" fontId="75" fillId="11" borderId="127" xfId="16" applyNumberFormat="1" applyFont="1" applyFill="1" applyBorder="1" applyAlignment="1">
      <alignment horizontal="right" vertical="center"/>
    </xf>
    <xf numFmtId="38" fontId="75" fillId="11" borderId="219" xfId="16" applyNumberFormat="1" applyFont="1" applyFill="1" applyBorder="1" applyAlignment="1">
      <alignment horizontal="right" vertical="center"/>
    </xf>
    <xf numFmtId="38" fontId="75" fillId="11" borderId="220" xfId="16" applyNumberFormat="1" applyFont="1" applyFill="1" applyBorder="1" applyAlignment="1">
      <alignment horizontal="right" vertical="center"/>
    </xf>
    <xf numFmtId="38" fontId="75" fillId="11" borderId="125" xfId="16" applyNumberFormat="1" applyFont="1" applyFill="1" applyBorder="1" applyAlignment="1">
      <alignment vertical="center"/>
    </xf>
    <xf numFmtId="38" fontId="75" fillId="11" borderId="124" xfId="16" applyNumberFormat="1" applyFont="1" applyFill="1" applyBorder="1" applyAlignment="1">
      <alignment vertical="center"/>
    </xf>
    <xf numFmtId="38" fontId="75" fillId="11" borderId="125" xfId="16" applyNumberFormat="1" applyFont="1" applyFill="1" applyBorder="1" applyAlignment="1">
      <alignment horizontal="right" vertical="center"/>
    </xf>
    <xf numFmtId="38" fontId="75" fillId="11" borderId="124" xfId="16" applyNumberFormat="1" applyFont="1" applyFill="1" applyBorder="1" applyAlignment="1">
      <alignment horizontal="right" vertical="center"/>
    </xf>
    <xf numFmtId="38" fontId="75" fillId="11" borderId="132" xfId="16" applyNumberFormat="1" applyFont="1" applyFill="1" applyBorder="1" applyAlignment="1">
      <alignment vertical="center"/>
    </xf>
    <xf numFmtId="38" fontId="75" fillId="11" borderId="131" xfId="16" applyNumberFormat="1" applyFont="1" applyFill="1" applyBorder="1" applyAlignment="1">
      <alignment vertical="center"/>
    </xf>
    <xf numFmtId="38" fontId="75" fillId="11" borderId="132" xfId="16" applyNumberFormat="1" applyFont="1" applyFill="1" applyBorder="1" applyAlignment="1">
      <alignment horizontal="right" vertical="center"/>
    </xf>
    <xf numFmtId="38" fontId="75" fillId="11" borderId="131" xfId="16" applyNumberFormat="1" applyFont="1" applyFill="1" applyBorder="1" applyAlignment="1">
      <alignment horizontal="right" vertical="center"/>
    </xf>
    <xf numFmtId="38" fontId="75" fillId="11" borderId="136" xfId="16" applyNumberFormat="1" applyFont="1" applyFill="1" applyBorder="1" applyAlignment="1">
      <alignment vertical="center"/>
    </xf>
    <xf numFmtId="38" fontId="75" fillId="11" borderId="135" xfId="16" applyNumberFormat="1" applyFont="1" applyFill="1" applyBorder="1" applyAlignment="1">
      <alignment vertical="center"/>
    </xf>
    <xf numFmtId="38" fontId="75" fillId="11" borderId="136" xfId="16" applyNumberFormat="1" applyFont="1" applyFill="1" applyBorder="1" applyAlignment="1">
      <alignment horizontal="right" vertical="center"/>
    </xf>
    <xf numFmtId="38" fontId="75" fillId="11" borderId="135" xfId="16" applyNumberFormat="1" applyFont="1" applyFill="1" applyBorder="1" applyAlignment="1">
      <alignment horizontal="right" vertical="center"/>
    </xf>
    <xf numFmtId="38" fontId="5" fillId="45" borderId="113" xfId="16" applyNumberFormat="1" applyFont="1" applyFill="1" applyBorder="1" applyAlignment="1">
      <alignment horizontal="right" vertical="center"/>
    </xf>
    <xf numFmtId="38" fontId="5" fillId="45" borderId="137" xfId="16" applyNumberFormat="1" applyFont="1" applyFill="1" applyBorder="1" applyAlignment="1">
      <alignment horizontal="right" vertical="center"/>
    </xf>
    <xf numFmtId="38" fontId="5" fillId="45" borderId="133" xfId="16" applyNumberFormat="1" applyFont="1" applyFill="1" applyBorder="1" applyAlignment="1">
      <alignment horizontal="right" vertical="center"/>
    </xf>
    <xf numFmtId="38" fontId="5" fillId="45" borderId="113" xfId="16" applyNumberFormat="1" applyFont="1" applyFill="1" applyBorder="1" applyAlignment="1">
      <alignment vertical="center"/>
    </xf>
    <xf numFmtId="38" fontId="5" fillId="45" borderId="137" xfId="16" applyNumberFormat="1" applyFont="1" applyFill="1" applyBorder="1" applyAlignment="1">
      <alignment vertical="center"/>
    </xf>
    <xf numFmtId="38" fontId="5" fillId="45" borderId="133" xfId="16" applyNumberFormat="1" applyFont="1" applyFill="1" applyBorder="1" applyAlignment="1">
      <alignment vertical="center"/>
    </xf>
    <xf numFmtId="38" fontId="5" fillId="45" borderId="129" xfId="16" applyNumberFormat="1" applyFont="1" applyFill="1" applyBorder="1" applyAlignment="1">
      <alignment horizontal="right" vertical="center"/>
    </xf>
    <xf numFmtId="38" fontId="5" fillId="45" borderId="129" xfId="16" applyNumberFormat="1" applyFont="1" applyFill="1" applyBorder="1" applyAlignment="1">
      <alignment vertical="center"/>
    </xf>
    <xf numFmtId="38" fontId="5" fillId="45" borderId="126" xfId="16" applyNumberFormat="1" applyFont="1" applyFill="1" applyBorder="1" applyAlignment="1">
      <alignment horizontal="right" vertical="center"/>
    </xf>
    <xf numFmtId="38" fontId="5" fillId="45" borderId="126" xfId="16" applyNumberFormat="1" applyFont="1" applyFill="1" applyBorder="1" applyAlignment="1">
      <alignment vertical="center"/>
    </xf>
    <xf numFmtId="38" fontId="5" fillId="45" borderId="110" xfId="16" applyNumberFormat="1" applyFont="1" applyFill="1" applyBorder="1" applyAlignment="1">
      <alignment horizontal="right" vertical="center"/>
    </xf>
    <xf numFmtId="38" fontId="5" fillId="45" borderId="110" xfId="16" applyNumberFormat="1" applyFont="1" applyFill="1" applyBorder="1" applyAlignment="1">
      <alignment vertical="center"/>
    </xf>
    <xf numFmtId="38" fontId="5" fillId="45" borderId="218" xfId="16" applyNumberFormat="1" applyFont="1" applyFill="1" applyBorder="1" applyAlignment="1">
      <alignment horizontal="right" vertical="center"/>
    </xf>
    <xf numFmtId="38" fontId="5" fillId="45" borderId="218" xfId="16" applyNumberFormat="1" applyFont="1" applyFill="1" applyBorder="1" applyAlignment="1">
      <alignment vertical="center"/>
    </xf>
    <xf numFmtId="38" fontId="12" fillId="46" borderId="23" xfId="16" applyNumberFormat="1" applyFont="1" applyFill="1" applyBorder="1" applyAlignment="1">
      <alignment horizontal="center" vertical="center" wrapText="1"/>
    </xf>
    <xf numFmtId="38" fontId="12" fillId="47" borderId="122" xfId="16" applyNumberFormat="1" applyFont="1" applyFill="1" applyBorder="1" applyAlignment="1">
      <alignment horizontal="center" vertical="center" wrapText="1"/>
    </xf>
    <xf numFmtId="38" fontId="12" fillId="47" borderId="57" xfId="16" applyNumberFormat="1" applyFont="1" applyFill="1" applyBorder="1" applyAlignment="1">
      <alignment horizontal="center" vertical="center" wrapText="1"/>
    </xf>
    <xf numFmtId="38" fontId="53" fillId="47" borderId="122" xfId="16" applyNumberFormat="1" applyFont="1" applyFill="1" applyBorder="1" applyAlignment="1">
      <alignment horizontal="center" vertical="center" wrapText="1"/>
    </xf>
    <xf numFmtId="38" fontId="53" fillId="47" borderId="57" xfId="16" applyNumberFormat="1" applyFont="1" applyFill="1" applyBorder="1" applyAlignment="1">
      <alignment horizontal="center" vertical="center" wrapText="1"/>
    </xf>
    <xf numFmtId="38" fontId="5" fillId="45" borderId="106" xfId="16" applyNumberFormat="1" applyFont="1" applyFill="1" applyBorder="1" applyAlignment="1">
      <alignment vertical="center"/>
    </xf>
    <xf numFmtId="38" fontId="12" fillId="46" borderId="223" xfId="16" applyNumberFormat="1" applyFont="1" applyFill="1" applyBorder="1" applyAlignment="1">
      <alignment horizontal="center" vertical="center" wrapText="1"/>
    </xf>
    <xf numFmtId="38" fontId="12" fillId="47" borderId="224" xfId="16" applyNumberFormat="1" applyFont="1" applyFill="1" applyBorder="1" applyAlignment="1">
      <alignment horizontal="center" vertical="center" wrapText="1"/>
    </xf>
    <xf numFmtId="38" fontId="12" fillId="47" borderId="222" xfId="16" applyNumberFormat="1" applyFont="1" applyFill="1" applyBorder="1" applyAlignment="1">
      <alignment horizontal="center" vertical="center" wrapText="1"/>
    </xf>
    <xf numFmtId="49" fontId="76" fillId="0" borderId="0" xfId="14" applyNumberFormat="1" applyFont="1" applyBorder="1" applyAlignment="1">
      <alignment horizontal="center" vertical="center" wrapText="1"/>
    </xf>
    <xf numFmtId="0" fontId="78" fillId="0" borderId="2" xfId="18" applyBorder="1" applyAlignment="1">
      <alignment horizontal="left" vertical="center" wrapText="1" indent="2"/>
    </xf>
    <xf numFmtId="0" fontId="78" fillId="0" borderId="2" xfId="18" applyBorder="1" applyAlignment="1">
      <alignment horizontal="left" vertical="center" wrapText="1"/>
    </xf>
    <xf numFmtId="0" fontId="78" fillId="14" borderId="20" xfId="18" applyFill="1" applyBorder="1" applyAlignment="1">
      <alignment horizontal="center" vertical="top" wrapText="1"/>
    </xf>
    <xf numFmtId="0" fontId="78" fillId="0" borderId="1" xfId="18" applyBorder="1" applyAlignment="1">
      <alignment horizontal="center"/>
    </xf>
    <xf numFmtId="0" fontId="78" fillId="0" borderId="0" xfId="18" applyAlignment="1">
      <alignment horizontal="center"/>
    </xf>
    <xf numFmtId="49" fontId="78" fillId="0" borderId="211" xfId="18" applyNumberFormat="1" applyBorder="1" applyAlignment="1">
      <alignment horizontal="center" textRotation="90" wrapText="1"/>
    </xf>
    <xf numFmtId="0" fontId="78" fillId="0" borderId="0" xfId="18" applyAlignment="1">
      <alignment horizontal="center" vertical="center"/>
    </xf>
    <xf numFmtId="0" fontId="78" fillId="9" borderId="2" xfId="18" applyFill="1" applyBorder="1" applyAlignment="1">
      <alignment horizontal="left" wrapText="1"/>
    </xf>
    <xf numFmtId="0" fontId="78" fillId="48" borderId="2" xfId="18" applyFill="1" applyBorder="1" applyAlignment="1">
      <alignment horizontal="left" vertical="center" wrapText="1"/>
    </xf>
    <xf numFmtId="0" fontId="65" fillId="14" borderId="0" xfId="0" applyFont="1" applyFill="1" applyAlignment="1">
      <alignment horizontal="center" vertical="center" wrapText="1"/>
    </xf>
    <xf numFmtId="0" fontId="42" fillId="14" borderId="0" xfId="0" applyFont="1" applyFill="1" applyAlignment="1">
      <alignment horizontal="left" vertical="center" wrapText="1"/>
    </xf>
    <xf numFmtId="0" fontId="53" fillId="14" borderId="0" xfId="0" applyFont="1" applyFill="1" applyAlignment="1">
      <alignment horizontal="center" wrapText="1"/>
    </xf>
    <xf numFmtId="0" fontId="42" fillId="0" borderId="38" xfId="0" applyFont="1" applyBorder="1" applyAlignment="1">
      <alignment horizontal="center" vertical="center"/>
    </xf>
    <xf numFmtId="0" fontId="42" fillId="0" borderId="15" xfId="0" applyFont="1" applyBorder="1" applyAlignment="1">
      <alignment horizontal="center" vertical="center"/>
    </xf>
    <xf numFmtId="0" fontId="42" fillId="0" borderId="21" xfId="0" applyFont="1" applyBorder="1" applyAlignment="1">
      <alignment horizontal="center" vertical="center"/>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40" fontId="4" fillId="0" borderId="2" xfId="0" applyNumberFormat="1" applyFont="1" applyBorder="1" applyAlignment="1">
      <alignment horizontal="center" vertical="center"/>
    </xf>
    <xf numFmtId="38" fontId="4" fillId="0" borderId="2" xfId="0" applyNumberFormat="1" applyFont="1" applyBorder="1" applyAlignment="1">
      <alignment horizontal="center" vertical="center"/>
    </xf>
    <xf numFmtId="6" fontId="4" fillId="0" borderId="2" xfId="0" applyNumberFormat="1" applyFont="1" applyBorder="1" applyAlignment="1">
      <alignment horizontal="center" vertical="center"/>
    </xf>
    <xf numFmtId="6" fontId="4" fillId="0" borderId="16" xfId="0" applyNumberFormat="1" applyFont="1" applyBorder="1" applyAlignment="1">
      <alignment horizontal="center" vertical="center"/>
    </xf>
    <xf numFmtId="3" fontId="4" fillId="0" borderId="16" xfId="0" applyNumberFormat="1" applyFont="1" applyBorder="1" applyAlignment="1">
      <alignment horizontal="center" vertical="center"/>
    </xf>
    <xf numFmtId="40" fontId="4" fillId="0" borderId="16" xfId="0" applyNumberFormat="1" applyFont="1" applyBorder="1" applyAlignment="1">
      <alignment horizontal="center" vertical="center"/>
    </xf>
    <xf numFmtId="38" fontId="4" fillId="0" borderId="16" xfId="0" applyNumberFormat="1" applyFont="1" applyBorder="1" applyAlignment="1">
      <alignment horizontal="center" vertical="center"/>
    </xf>
    <xf numFmtId="38" fontId="44" fillId="11" borderId="40" xfId="0" applyNumberFormat="1" applyFont="1" applyFill="1" applyBorder="1" applyAlignment="1">
      <alignment horizontal="left" wrapText="1"/>
    </xf>
    <xf numFmtId="4" fontId="9" fillId="8" borderId="39" xfId="0" applyNumberFormat="1" applyFont="1" applyFill="1" applyBorder="1" applyAlignment="1">
      <alignment horizontal="center"/>
    </xf>
    <xf numFmtId="4" fontId="9" fillId="8" borderId="40" xfId="0" applyNumberFormat="1" applyFont="1" applyFill="1" applyBorder="1" applyAlignment="1">
      <alignment horizontal="center"/>
    </xf>
    <xf numFmtId="0" fontId="9" fillId="12" borderId="2" xfId="0" applyFont="1" applyFill="1" applyBorder="1" applyAlignment="1">
      <alignment horizontal="center"/>
    </xf>
    <xf numFmtId="0" fontId="8" fillId="0" borderId="0" xfId="0" applyFont="1" applyBorder="1" applyAlignment="1">
      <alignment horizontal="center"/>
    </xf>
    <xf numFmtId="0" fontId="9" fillId="9" borderId="2" xfId="0" applyFont="1" applyFill="1" applyBorder="1" applyAlignment="1">
      <alignment horizontal="center"/>
    </xf>
    <xf numFmtId="38" fontId="44" fillId="11" borderId="39" xfId="0" applyNumberFormat="1" applyFont="1" applyFill="1" applyBorder="1" applyAlignment="1">
      <alignment horizontal="center" wrapText="1"/>
    </xf>
    <xf numFmtId="0" fontId="34" fillId="17" borderId="38" xfId="0" applyFont="1" applyFill="1" applyBorder="1" applyAlignment="1">
      <alignment horizontal="center"/>
    </xf>
    <xf numFmtId="0" fontId="34" fillId="17" borderId="15" xfId="0" applyFont="1" applyFill="1" applyBorder="1" applyAlignment="1">
      <alignment horizontal="center"/>
    </xf>
    <xf numFmtId="0" fontId="34" fillId="17" borderId="21" xfId="0" applyFont="1" applyFill="1" applyBorder="1" applyAlignment="1">
      <alignment horizontal="center"/>
    </xf>
    <xf numFmtId="0" fontId="5" fillId="0" borderId="38" xfId="0" applyFont="1" applyBorder="1" applyAlignment="1">
      <alignment horizontal="center"/>
    </xf>
    <xf numFmtId="0" fontId="5" fillId="0" borderId="21" xfId="0" applyFont="1" applyBorder="1" applyAlignment="1">
      <alignment horizontal="center"/>
    </xf>
    <xf numFmtId="0" fontId="53" fillId="0" borderId="39" xfId="14" applyFont="1" applyFill="1" applyBorder="1" applyAlignment="1">
      <alignment horizontal="center" vertical="center" wrapText="1"/>
    </xf>
    <xf numFmtId="0" fontId="53" fillId="0" borderId="12" xfId="14" applyFont="1" applyFill="1" applyBorder="1" applyAlignment="1">
      <alignment horizontal="center" vertical="center" wrapText="1"/>
    </xf>
    <xf numFmtId="0" fontId="53" fillId="0" borderId="40" xfId="14" applyFont="1" applyFill="1" applyBorder="1" applyAlignment="1">
      <alignment horizontal="center" vertical="center" wrapText="1"/>
    </xf>
    <xf numFmtId="49" fontId="58" fillId="0" borderId="89" xfId="14" applyNumberFormat="1" applyFont="1" applyBorder="1" applyAlignment="1">
      <alignment horizontal="center" vertical="center" textRotation="90"/>
    </xf>
    <xf numFmtId="49" fontId="58" fillId="0" borderId="115" xfId="14" applyNumberFormat="1" applyFont="1" applyBorder="1" applyAlignment="1">
      <alignment horizontal="center" vertical="center" textRotation="90"/>
    </xf>
    <xf numFmtId="49" fontId="58" fillId="0" borderId="28" xfId="14" applyNumberFormat="1" applyFont="1" applyBorder="1" applyAlignment="1">
      <alignment horizontal="center" vertical="center" textRotation="90"/>
    </xf>
    <xf numFmtId="49" fontId="58" fillId="26" borderId="89" xfId="14" applyNumberFormat="1" applyFont="1" applyFill="1" applyBorder="1" applyAlignment="1">
      <alignment horizontal="center" vertical="center" textRotation="90"/>
    </xf>
    <xf numFmtId="49" fontId="58" fillId="26" borderId="115" xfId="14" applyNumberFormat="1" applyFont="1" applyFill="1" applyBorder="1" applyAlignment="1">
      <alignment horizontal="center" vertical="center" textRotation="90"/>
    </xf>
    <xf numFmtId="49" fontId="58" fillId="26" borderId="28" xfId="14" applyNumberFormat="1" applyFont="1" applyFill="1" applyBorder="1" applyAlignment="1">
      <alignment horizontal="center" vertical="center" textRotation="90"/>
    </xf>
    <xf numFmtId="49" fontId="73" fillId="22" borderId="89" xfId="14" applyNumberFormat="1" applyFont="1" applyFill="1" applyBorder="1" applyAlignment="1">
      <alignment horizontal="center" vertical="center" textRotation="90" wrapText="1"/>
    </xf>
    <xf numFmtId="49" fontId="73" fillId="22" borderId="115" xfId="14" applyNumberFormat="1" applyFont="1" applyFill="1" applyBorder="1" applyAlignment="1">
      <alignment horizontal="center" vertical="center" textRotation="90" wrapText="1"/>
    </xf>
    <xf numFmtId="49" fontId="73" fillId="22" borderId="28" xfId="14" applyNumberFormat="1" applyFont="1" applyFill="1" applyBorder="1" applyAlignment="1">
      <alignment horizontal="center" vertical="center" textRotation="90" wrapText="1"/>
    </xf>
    <xf numFmtId="49" fontId="58" fillId="26" borderId="89" xfId="14" applyNumberFormat="1" applyFont="1" applyFill="1" applyBorder="1" applyAlignment="1">
      <alignment horizontal="center" vertical="center" textRotation="90" wrapText="1"/>
    </xf>
    <xf numFmtId="49" fontId="58" fillId="26" borderId="115" xfId="14" applyNumberFormat="1" applyFont="1" applyFill="1" applyBorder="1" applyAlignment="1">
      <alignment horizontal="center" vertical="center" textRotation="90" wrapText="1"/>
    </xf>
    <xf numFmtId="49" fontId="58" fillId="26" borderId="28" xfId="14" applyNumberFormat="1" applyFont="1" applyFill="1" applyBorder="1" applyAlignment="1">
      <alignment horizontal="center" vertical="center" textRotation="90" wrapText="1"/>
    </xf>
    <xf numFmtId="0" fontId="53" fillId="0" borderId="105" xfId="14" applyFont="1" applyFill="1" applyBorder="1" applyAlignment="1">
      <alignment horizontal="center" vertical="center" wrapText="1"/>
    </xf>
    <xf numFmtId="0" fontId="53" fillId="0" borderId="17" xfId="14" applyFont="1" applyFill="1" applyBorder="1" applyAlignment="1">
      <alignment horizontal="center" vertical="center" wrapText="1"/>
    </xf>
    <xf numFmtId="0" fontId="53" fillId="0" borderId="84" xfId="14" applyFont="1" applyFill="1" applyBorder="1" applyAlignment="1">
      <alignment horizontal="center" vertical="center" wrapText="1"/>
    </xf>
    <xf numFmtId="0" fontId="53" fillId="0" borderId="104" xfId="14" applyFont="1" applyFill="1" applyBorder="1" applyAlignment="1">
      <alignment horizontal="center" vertical="center" wrapText="1"/>
    </xf>
    <xf numFmtId="0" fontId="53" fillId="0" borderId="19" xfId="14" applyFont="1" applyFill="1" applyBorder="1" applyAlignment="1">
      <alignment horizontal="center" vertical="center" wrapText="1"/>
    </xf>
    <xf numFmtId="0" fontId="53" fillId="0" borderId="85" xfId="14" applyFont="1" applyFill="1" applyBorder="1" applyAlignment="1">
      <alignment horizontal="center" vertical="center" wrapText="1"/>
    </xf>
    <xf numFmtId="49" fontId="55" fillId="0" borderId="1" xfId="14" applyNumberFormat="1" applyFont="1" applyFill="1" applyBorder="1" applyAlignment="1">
      <alignment horizontal="center" vertical="center" wrapText="1"/>
    </xf>
    <xf numFmtId="49" fontId="55" fillId="0" borderId="16" xfId="14" applyNumberFormat="1" applyFont="1" applyFill="1" applyBorder="1" applyAlignment="1">
      <alignment horizontal="center" vertical="center" wrapText="1"/>
    </xf>
    <xf numFmtId="0" fontId="5" fillId="23" borderId="0" xfId="0" applyFont="1" applyFill="1" applyAlignment="1">
      <alignment horizontal="center"/>
    </xf>
    <xf numFmtId="0" fontId="5" fillId="23" borderId="0" xfId="0" applyFont="1" applyFill="1" applyAlignment="1">
      <alignment horizontal="left"/>
    </xf>
    <xf numFmtId="3" fontId="5" fillId="16" borderId="91" xfId="0" applyNumberFormat="1" applyFont="1" applyFill="1" applyBorder="1" applyAlignment="1">
      <alignment horizontal="center" wrapText="1"/>
    </xf>
    <xf numFmtId="3" fontId="5" fillId="16" borderId="60" xfId="0" applyNumberFormat="1" applyFont="1" applyFill="1" applyBorder="1" applyAlignment="1">
      <alignment horizontal="center" wrapText="1"/>
    </xf>
    <xf numFmtId="3" fontId="5" fillId="16" borderId="61" xfId="0" applyNumberFormat="1" applyFont="1" applyFill="1" applyBorder="1" applyAlignment="1">
      <alignment horizontal="center" wrapText="1"/>
    </xf>
    <xf numFmtId="0" fontId="41" fillId="18" borderId="212" xfId="0" applyFont="1" applyFill="1" applyBorder="1" applyAlignment="1">
      <alignment horizontal="center" vertical="center" wrapText="1"/>
    </xf>
    <xf numFmtId="3" fontId="5" fillId="16" borderId="0" xfId="0" applyNumberFormat="1" applyFont="1" applyFill="1" applyBorder="1" applyAlignment="1">
      <alignment horizontal="center" wrapText="1"/>
    </xf>
    <xf numFmtId="3" fontId="5" fillId="16" borderId="101" xfId="0" applyNumberFormat="1" applyFont="1" applyFill="1" applyBorder="1" applyAlignment="1">
      <alignment horizontal="center" wrapText="1"/>
    </xf>
    <xf numFmtId="0" fontId="50" fillId="17" borderId="0" xfId="0" applyFont="1" applyFill="1" applyAlignment="1">
      <alignment horizontal="left" vertical="center" shrinkToFit="1"/>
    </xf>
    <xf numFmtId="0" fontId="51" fillId="24" borderId="0" xfId="0" applyFont="1" applyFill="1" applyAlignment="1">
      <alignment horizontal="left" vertical="center" shrinkToFit="1"/>
    </xf>
    <xf numFmtId="0" fontId="4" fillId="23" borderId="0" xfId="0" applyFont="1" applyFill="1" applyAlignment="1">
      <alignment horizontal="left" shrinkToFit="1"/>
    </xf>
    <xf numFmtId="0" fontId="5" fillId="23" borderId="0" xfId="0" applyFont="1" applyFill="1" applyAlignment="1">
      <alignment horizontal="left" shrinkToFit="1"/>
    </xf>
    <xf numFmtId="0" fontId="5" fillId="0" borderId="0" xfId="0" applyFont="1" applyAlignment="1">
      <alignment horizontal="left" shrinkToFit="1"/>
    </xf>
    <xf numFmtId="0" fontId="4" fillId="0" borderId="0" xfId="0" applyFont="1" applyAlignment="1">
      <alignment horizontal="left" shrinkToFit="1"/>
    </xf>
    <xf numFmtId="40" fontId="80" fillId="0" borderId="0" xfId="13" applyNumberFormat="1" applyFont="1" applyBorder="1"/>
  </cellXfs>
  <cellStyles count="19">
    <cellStyle name="Comma" xfId="5" builtinId="3"/>
    <cellStyle name="Comma 2" xfId="12"/>
    <cellStyle name="Comma 2 2" xfId="15"/>
    <cellStyle name="Comma 3" xfId="16"/>
    <cellStyle name="Comma 3 2" xfId="17"/>
    <cellStyle name="Currency" xfId="1" builtinId="4"/>
    <cellStyle name="Currency 2" xfId="7"/>
    <cellStyle name="Currency 2 2" xfId="9"/>
    <cellStyle name="Currency 3" xfId="11"/>
    <cellStyle name="Hyperlink" xfId="18" builtinId="8"/>
    <cellStyle name="Normal" xfId="0" builtinId="0"/>
    <cellStyle name="Normal 2" xfId="6"/>
    <cellStyle name="Normal 3" xfId="14"/>
    <cellStyle name="Normal_CountyVolValHistorical" xfId="13"/>
    <cellStyle name="Normal_HistoricalVolVal" xfId="2"/>
    <cellStyle name="Normal_Sheet1" xfId="4"/>
    <cellStyle name="Percent" xfId="3" builtinId="5"/>
    <cellStyle name="Percent 2" xfId="8"/>
    <cellStyle name="Percent 3" xfId="10"/>
  </cellStyles>
  <dxfs count="153">
    <dxf>
      <font>
        <color rgb="FF9C0006"/>
      </font>
    </dxf>
    <dxf>
      <font>
        <b/>
        <i val="0"/>
        <color rgb="FFC00000"/>
      </font>
      <fill>
        <patternFill>
          <bgColor theme="0" tint="-4.9989318521683403E-2"/>
        </patternFill>
      </fill>
    </dxf>
    <dxf>
      <font>
        <color rgb="FF9C0006"/>
      </font>
    </dxf>
    <dxf>
      <font>
        <b/>
        <i val="0"/>
        <color rgb="FFC00000"/>
      </font>
      <fill>
        <patternFill>
          <bgColor theme="0" tint="-4.9989318521683403E-2"/>
        </patternFill>
      </fill>
    </dxf>
    <dxf>
      <font>
        <color rgb="FF9C0006"/>
      </font>
    </dxf>
    <dxf>
      <font>
        <b/>
        <i val="0"/>
        <color rgb="FFC00000"/>
      </font>
      <fill>
        <patternFill>
          <bgColor theme="0" tint="-4.9989318521683403E-2"/>
        </patternFill>
      </fill>
    </dxf>
    <dxf>
      <font>
        <color rgb="FF9C0006"/>
      </font>
    </dxf>
    <dxf>
      <font>
        <b/>
        <i val="0"/>
        <color rgb="FFC00000"/>
      </font>
      <fill>
        <patternFill>
          <bgColor theme="0" tint="-4.9989318521683403E-2"/>
        </patternFill>
      </fill>
    </dxf>
    <dxf>
      <numFmt numFmtId="6" formatCode="#,##0_);[Red]\(#,##0\)"/>
    </dxf>
    <dxf>
      <numFmt numFmtId="167" formatCode="_(* #,##0_);_(* \(#,##0\);_(* &quot;-&quot;??_);_(@_)"/>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9"/>
      </font>
    </dxf>
    <dxf>
      <font>
        <name val="Arial"/>
        <scheme val="none"/>
      </font>
    </dxf>
    <dxf>
      <font>
        <name val="Arial"/>
        <scheme val="none"/>
      </font>
    </dxf>
    <dxf>
      <font>
        <name val="Arial"/>
        <scheme val="none"/>
      </font>
    </dxf>
    <dxf>
      <font>
        <name val="Arial"/>
        <scheme val="none"/>
      </font>
    </dxf>
    <dxf>
      <font>
        <name val="Arial"/>
        <scheme val="none"/>
      </font>
    </dxf>
    <dxf>
      <fill>
        <patternFill>
          <bgColor theme="4" tint="-0.499984740745262"/>
        </patternFill>
      </fill>
    </dxf>
    <dxf>
      <font>
        <color theme="0"/>
      </font>
    </dxf>
    <dxf>
      <fill>
        <patternFill patternType="solid">
          <bgColor theme="3" tint="-0.499984740745262"/>
        </patternFill>
      </fill>
    </dxf>
    <dxf>
      <font>
        <b/>
      </font>
    </dxf>
    <dxf>
      <alignment horizontal="center" readingOrder="0"/>
    </dxf>
    <dxf>
      <alignment horizontal="center" readingOrder="0"/>
    </dxf>
    <dxf>
      <alignment horizontal="center" readingOrder="0"/>
    </dxf>
    <dxf>
      <alignment horizontal="center" readingOrder="0"/>
    </dxf>
    <dxf>
      <font>
        <sz val="8"/>
      </font>
    </dxf>
    <dxf>
      <font>
        <sz val="8"/>
      </font>
    </dxf>
    <dxf>
      <font>
        <b/>
      </font>
    </dxf>
    <dxf>
      <font>
        <b/>
      </font>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ont>
        <sz val="9"/>
      </font>
    </dxf>
    <dxf>
      <font>
        <sz val="9"/>
      </font>
    </dxf>
    <dxf>
      <font>
        <b/>
      </font>
    </dxf>
    <dxf>
      <font>
        <sz val="8"/>
      </font>
    </dxf>
    <dxf>
      <alignment vertical="center" readingOrder="0"/>
    </dxf>
    <dxf>
      <alignment horizontal="center" readingOrder="0"/>
    </dxf>
    <dxf>
      <font>
        <sz val="9"/>
      </font>
    </dxf>
    <dxf>
      <alignment wrapText="1" readingOrder="0"/>
    </dxf>
    <dxf>
      <numFmt numFmtId="166" formatCode="0.0%"/>
    </dxf>
    <dxf>
      <numFmt numFmtId="166" formatCode="0.0%"/>
    </dxf>
    <dxf>
      <font>
        <sz val="9"/>
      </font>
    </dxf>
    <dxf>
      <font>
        <name val="Arial"/>
        <scheme val="none"/>
      </font>
    </dxf>
    <dxf>
      <font>
        <name val="Arial"/>
        <scheme val="none"/>
      </font>
    </dxf>
    <dxf>
      <font>
        <name val="Arial"/>
        <scheme val="none"/>
      </font>
    </dxf>
    <dxf>
      <font>
        <name val="Arial"/>
        <scheme val="none"/>
      </font>
    </dxf>
    <dxf>
      <font>
        <name val="Arial"/>
        <scheme val="none"/>
      </font>
    </dxf>
    <dxf>
      <fill>
        <patternFill>
          <bgColor theme="4" tint="-0.499984740745262"/>
        </patternFill>
      </fill>
    </dxf>
    <dxf>
      <font>
        <color theme="0"/>
      </font>
    </dxf>
    <dxf>
      <fill>
        <patternFill patternType="solid">
          <bgColor theme="3" tint="-0.499984740745262"/>
        </patternFill>
      </fill>
    </dxf>
    <dxf>
      <font>
        <b/>
      </font>
    </dxf>
    <dxf>
      <alignment horizontal="center" readingOrder="0"/>
    </dxf>
    <dxf>
      <alignment horizontal="center" readingOrder="0"/>
    </dxf>
    <dxf>
      <alignment horizontal="center" readingOrder="0"/>
    </dxf>
    <dxf>
      <alignment horizontal="center" readingOrder="0"/>
    </dxf>
    <dxf>
      <font>
        <sz val="8"/>
      </font>
    </dxf>
    <dxf>
      <font>
        <sz val="8"/>
      </font>
    </dxf>
    <dxf>
      <font>
        <b/>
      </font>
    </dxf>
    <dxf>
      <font>
        <b/>
      </font>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ont>
        <sz val="9"/>
      </font>
    </dxf>
    <dxf>
      <font>
        <sz val="9"/>
      </font>
    </dxf>
    <dxf>
      <border>
        <right style="medium">
          <color theme="0"/>
        </right>
      </border>
    </dxf>
    <dxf>
      <border>
        <right style="medium">
          <color theme="0"/>
        </right>
      </border>
    </dxf>
    <dxf>
      <border>
        <right style="medium">
          <color theme="0"/>
        </right>
      </border>
    </dxf>
    <dxf>
      <font>
        <b/>
      </font>
    </dxf>
    <dxf>
      <font>
        <b/>
      </font>
    </dxf>
    <dxf>
      <font>
        <color theme="0"/>
      </font>
    </dxf>
    <dxf>
      <font>
        <color theme="0"/>
      </font>
    </dxf>
    <dxf>
      <fill>
        <patternFill>
          <bgColor theme="4" tint="-0.249977111117893"/>
        </patternFill>
      </fill>
    </dxf>
    <dxf>
      <fill>
        <patternFill>
          <bgColor theme="4" tint="-0.249977111117893"/>
        </patternFill>
      </fill>
    </dxf>
    <dxf>
      <font>
        <sz val="8"/>
      </font>
    </dxf>
    <dxf>
      <font>
        <sz val="8"/>
      </font>
    </dxf>
    <dxf>
      <fill>
        <patternFill>
          <bgColor theme="4" tint="-0.249977111117893"/>
        </patternFill>
      </fill>
    </dxf>
    <dxf>
      <fill>
        <patternFill>
          <bgColor theme="4" tint="-0.249977111117893"/>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67" formatCode="_(* #,##0_);_(* \(#,##0\);_(* &quot;-&quot;??_);_(@_)"/>
    </dxf>
    <dxf>
      <border>
        <left style="thin">
          <color auto="1"/>
        </left>
        <right style="thin">
          <color auto="1"/>
        </right>
        <vertical style="thin">
          <color auto="1"/>
        </vertical>
      </border>
    </dxf>
    <dxf>
      <border>
        <left style="thin">
          <color auto="1"/>
        </left>
        <right style="thin">
          <color auto="1"/>
        </right>
        <vertical style="thin">
          <color auto="1"/>
        </vertical>
      </border>
    </dxf>
    <dxf>
      <font>
        <sz val="9"/>
      </font>
    </dxf>
    <dxf>
      <font>
        <sz val="9"/>
      </font>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6" formatCode="#,##0_);[Red]\(#,##0\)"/>
    </dxf>
    <dxf>
      <numFmt numFmtId="6" formatCode="#,##0_);[Red]\(#,##0\)"/>
    </dxf>
    <dxf>
      <font>
        <sz val="9"/>
      </font>
    </dxf>
    <dxf>
      <alignment wrapText="1" readingOrder="0"/>
    </dxf>
  </dxfs>
  <tableStyles count="0" defaultTableStyle="TableStyleMedium9" defaultPivotStyle="PivotStyleLight16"/>
  <colors>
    <mruColors>
      <color rgb="FF3333FF"/>
      <color rgb="FFFFFFCC"/>
      <color rgb="FFFFCC66"/>
      <color rgb="FFCCFFCC"/>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4.xml"/><Relationship Id="rId18"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5.xml"/><Relationship Id="rId12" Type="http://schemas.openxmlformats.org/officeDocument/2006/relationships/chartsheet" Target="chartsheets/sheet3.xml"/><Relationship Id="rId17"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24"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chartsheet" Target="chartsheets/sheet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8.xml"/><Relationship Id="rId19" Type="http://schemas.openxmlformats.org/officeDocument/2006/relationships/worksheet" Target="worksheets/sheet14.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0.xml"/><Relationship Id="rId22" Type="http://schemas.openxmlformats.org/officeDocument/2006/relationships/pivotCacheDefinition" Target="pivotCache/pivotCacheDefinition3.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[1_VolVal_Historical_Annual_MASTER.xlsx]1.2 Pivots &amp; Graphs!PivotTable2</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Accomplishment; Planned --&gt; Sold --&gt; Harvested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s>
    <c:plotArea>
      <c:layout/>
      <c:lineChart>
        <c:grouping val="standard"/>
        <c:varyColors val="0"/>
        <c:ser>
          <c:idx val="0"/>
          <c:order val="0"/>
          <c:tx>
            <c:strRef>
              <c:f>'1.2 Pivots &amp; Graphs'!$B$3</c:f>
              <c:strCache>
                <c:ptCount val="1"/>
                <c:pt idx="0">
                  <c:v>Total AOP PLANNED Volume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'1.2 Pivots &amp; Graphs'!$A$4:$A$20</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'1.2 Pivots &amp; Graphs'!$B$4:$B$20</c:f>
              <c:numCache>
                <c:formatCode>#,##0_);[Red]\(#,##0\)</c:formatCode>
                <c:ptCount val="16"/>
                <c:pt idx="0">
                  <c:v>256164</c:v>
                </c:pt>
                <c:pt idx="1">
                  <c:v>226764</c:v>
                </c:pt>
                <c:pt idx="2">
                  <c:v>205628</c:v>
                </c:pt>
                <c:pt idx="3">
                  <c:v>232156</c:v>
                </c:pt>
                <c:pt idx="4">
                  <c:v>294567</c:v>
                </c:pt>
                <c:pt idx="5">
                  <c:v>262520</c:v>
                </c:pt>
                <c:pt idx="6">
                  <c:v>322355</c:v>
                </c:pt>
                <c:pt idx="7">
                  <c:v>236555</c:v>
                </c:pt>
                <c:pt idx="8">
                  <c:v>230900</c:v>
                </c:pt>
                <c:pt idx="9">
                  <c:v>249040</c:v>
                </c:pt>
                <c:pt idx="10">
                  <c:v>226621</c:v>
                </c:pt>
                <c:pt idx="11">
                  <c:v>235969</c:v>
                </c:pt>
                <c:pt idx="12">
                  <c:v>215441</c:v>
                </c:pt>
                <c:pt idx="13">
                  <c:v>239894</c:v>
                </c:pt>
                <c:pt idx="14">
                  <c:v>225507</c:v>
                </c:pt>
                <c:pt idx="15">
                  <c:v>237992</c:v>
                </c:pt>
              </c:numCache>
            </c:numRef>
          </c:val>
          <c:smooth val="0"/>
        </c:ser>
        <c:ser>
          <c:idx val="1"/>
          <c:order val="1"/>
          <c:tx>
            <c:strRef>
              <c:f>'1.2 Pivots &amp; Graphs'!$C$3</c:f>
              <c:strCache>
                <c:ptCount val="1"/>
                <c:pt idx="0">
                  <c:v>Total SOLD Volume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'1.2 Pivots &amp; Graphs'!$A$4:$A$20</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'1.2 Pivots &amp; Graphs'!$C$4:$C$20</c:f>
              <c:numCache>
                <c:formatCode>#,##0_);[Red]\(#,##0\)</c:formatCode>
                <c:ptCount val="16"/>
                <c:pt idx="0">
                  <c:v>239615</c:v>
                </c:pt>
                <c:pt idx="1">
                  <c:v>209334</c:v>
                </c:pt>
                <c:pt idx="2">
                  <c:v>215046</c:v>
                </c:pt>
                <c:pt idx="3">
                  <c:v>242336</c:v>
                </c:pt>
                <c:pt idx="4">
                  <c:v>305915</c:v>
                </c:pt>
                <c:pt idx="5">
                  <c:v>246682</c:v>
                </c:pt>
                <c:pt idx="6">
                  <c:v>311786</c:v>
                </c:pt>
                <c:pt idx="7">
                  <c:v>266538</c:v>
                </c:pt>
                <c:pt idx="8">
                  <c:v>251994</c:v>
                </c:pt>
                <c:pt idx="9">
                  <c:v>251409</c:v>
                </c:pt>
                <c:pt idx="10">
                  <c:v>233250</c:v>
                </c:pt>
                <c:pt idx="11">
                  <c:v>231452</c:v>
                </c:pt>
                <c:pt idx="12">
                  <c:v>214724</c:v>
                </c:pt>
                <c:pt idx="13">
                  <c:v>241671</c:v>
                </c:pt>
                <c:pt idx="14">
                  <c:v>211897</c:v>
                </c:pt>
                <c:pt idx="15">
                  <c:v>228616</c:v>
                </c:pt>
              </c:numCache>
            </c:numRef>
          </c:val>
          <c:smooth val="0"/>
        </c:ser>
        <c:ser>
          <c:idx val="2"/>
          <c:order val="2"/>
          <c:tx>
            <c:strRef>
              <c:f>'1.2 Pivots &amp; Graphs'!$D$3</c:f>
              <c:strCache>
                <c:ptCount val="1"/>
                <c:pt idx="0">
                  <c:v>Sum of Total HARVEST VOL BOTH Funds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'1.2 Pivots &amp; Graphs'!$A$4:$A$20</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'1.2 Pivots &amp; Graphs'!$D$4:$D$20</c:f>
              <c:numCache>
                <c:formatCode>General</c:formatCode>
                <c:ptCount val="16"/>
                <c:pt idx="0">
                  <c:v>264789.18</c:v>
                </c:pt>
                <c:pt idx="1">
                  <c:v>228695.26</c:v>
                </c:pt>
                <c:pt idx="2">
                  <c:v>257883.4</c:v>
                </c:pt>
                <c:pt idx="3">
                  <c:v>277822.19999999995</c:v>
                </c:pt>
                <c:pt idx="4">
                  <c:v>271808.98999999993</c:v>
                </c:pt>
                <c:pt idx="5">
                  <c:v>323711.35999999993</c:v>
                </c:pt>
                <c:pt idx="6">
                  <c:v>294741.2</c:v>
                </c:pt>
                <c:pt idx="7">
                  <c:v>271481.43000000005</c:v>
                </c:pt>
                <c:pt idx="8">
                  <c:v>259552.26</c:v>
                </c:pt>
                <c:pt idx="9">
                  <c:v>266201.34999999998</c:v>
                </c:pt>
                <c:pt idx="10">
                  <c:v>292953.81</c:v>
                </c:pt>
                <c:pt idx="11">
                  <c:v>271675.41000000003</c:v>
                </c:pt>
                <c:pt idx="12">
                  <c:v>262941.44</c:v>
                </c:pt>
                <c:pt idx="13">
                  <c:v>240564.01</c:v>
                </c:pt>
                <c:pt idx="14">
                  <c:v>231822.12</c:v>
                </c:pt>
                <c:pt idx="15">
                  <c:v>274174.53000000003</c:v>
                </c:pt>
              </c:numCache>
            </c:numRef>
          </c:val>
          <c:smooth val="0"/>
        </c:ser>
        <c:dLbls>
          <c:showLegendKey val="0"/>
          <c:showVal val="0"/>
          <c:showCatName val="0"/>
          <c:showSerName val="0"/>
          <c:showPercent val="0"/>
          <c:showBubbleSize val="0"/>
        </c:dLbls>
        <c:marker val="1"/>
        <c:smooth val="0"/>
        <c:axId val="320596744"/>
        <c:axId val="470120776"/>
      </c:lineChart>
      <c:catAx>
        <c:axId val="32059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20776"/>
        <c:crosses val="autoZero"/>
        <c:auto val="1"/>
        <c:lblAlgn val="ctr"/>
        <c:lblOffset val="100"/>
        <c:noMultiLvlLbl val="0"/>
      </c:catAx>
      <c:valAx>
        <c:axId val="47012077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59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FOREST GROVE</a:t>
            </a:r>
          </a:p>
        </c:rich>
      </c:tx>
      <c:layout>
        <c:manualLayout>
          <c:xMode val="edge"/>
          <c:yMode val="edge"/>
          <c:x val="7.3802442651324934E-2"/>
          <c:y val="2.7613414132057021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Graphs'!$R$45</c:f>
              <c:strCache>
                <c:ptCount val="1"/>
                <c:pt idx="0">
                  <c:v>TOTAL AOP Planned Volume</c:v>
                </c:pt>
              </c:strCache>
            </c:strRef>
          </c:tx>
          <c:marker>
            <c:symbol val="none"/>
          </c:marker>
          <c:cat>
            <c:strRef>
              <c:f>'TAB2.0 Accomplishment Graphs'!$Q$55:$Q$65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Graphs'!$R$55:$R$65</c:f>
              <c:numCache>
                <c:formatCode>#,##0</c:formatCode>
                <c:ptCount val="10"/>
                <c:pt idx="0">
                  <c:v>76300</c:v>
                </c:pt>
                <c:pt idx="1">
                  <c:v>53300</c:v>
                </c:pt>
                <c:pt idx="2">
                  <c:v>58000</c:v>
                </c:pt>
                <c:pt idx="3">
                  <c:v>62288</c:v>
                </c:pt>
                <c:pt idx="4">
                  <c:v>62888</c:v>
                </c:pt>
                <c:pt idx="5">
                  <c:v>58742</c:v>
                </c:pt>
                <c:pt idx="6">
                  <c:v>62190</c:v>
                </c:pt>
                <c:pt idx="7">
                  <c:v>61900</c:v>
                </c:pt>
                <c:pt idx="8">
                  <c:v>56100</c:v>
                </c:pt>
                <c:pt idx="9">
                  <c:v>56600</c:v>
                </c:pt>
              </c:numCache>
            </c:numRef>
          </c:val>
          <c:smooth val="0"/>
        </c:ser>
        <c:ser>
          <c:idx val="1"/>
          <c:order val="1"/>
          <c:tx>
            <c:strRef>
              <c:f>'TAB2.0 Accomplishment Graphs'!$S$45</c:f>
              <c:strCache>
                <c:ptCount val="1"/>
                <c:pt idx="0">
                  <c:v>TOTALSold Volume</c:v>
                </c:pt>
              </c:strCache>
            </c:strRef>
          </c:tx>
          <c:marker>
            <c:symbol val="none"/>
          </c:marker>
          <c:cat>
            <c:strRef>
              <c:f>'TAB2.0 Accomplishment Graphs'!$Q$55:$Q$65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Graphs'!$S$55:$S$65</c:f>
              <c:numCache>
                <c:formatCode>#,##0_);[Red]\(#,##0\)</c:formatCode>
                <c:ptCount val="10"/>
                <c:pt idx="0">
                  <c:v>64722</c:v>
                </c:pt>
                <c:pt idx="1">
                  <c:v>64918</c:v>
                </c:pt>
                <c:pt idx="2">
                  <c:v>65025</c:v>
                </c:pt>
                <c:pt idx="3">
                  <c:v>70674</c:v>
                </c:pt>
                <c:pt idx="4">
                  <c:v>67596</c:v>
                </c:pt>
                <c:pt idx="5">
                  <c:v>52691</c:v>
                </c:pt>
                <c:pt idx="6">
                  <c:v>61169</c:v>
                </c:pt>
                <c:pt idx="7" formatCode="#,##0">
                  <c:v>61900</c:v>
                </c:pt>
                <c:pt idx="8" formatCode="#,##0">
                  <c:v>56100</c:v>
                </c:pt>
                <c:pt idx="9">
                  <c:v>64910</c:v>
                </c:pt>
              </c:numCache>
            </c:numRef>
          </c:val>
          <c:smooth val="0"/>
        </c:ser>
        <c:ser>
          <c:idx val="2"/>
          <c:order val="2"/>
          <c:tx>
            <c:strRef>
              <c:f>'TAB2.0 Accomplishment Graphs'!$T$45</c:f>
              <c:strCache>
                <c:ptCount val="1"/>
                <c:pt idx="0">
                  <c:v>TOTAL Harvested Volume (MBF)</c:v>
                </c:pt>
              </c:strCache>
            </c:strRef>
          </c:tx>
          <c:marker>
            <c:symbol val="none"/>
          </c:marker>
          <c:cat>
            <c:strRef>
              <c:f>'TAB2.0 Accomplishment Graphs'!$Q$55:$Q$65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Graphs'!$T$55:$T$65</c:f>
              <c:numCache>
                <c:formatCode>#,##0_);[Red]\(#,##0\)</c:formatCode>
                <c:ptCount val="10"/>
                <c:pt idx="0">
                  <c:v>69028.100000000006</c:v>
                </c:pt>
                <c:pt idx="1">
                  <c:v>70988.03</c:v>
                </c:pt>
                <c:pt idx="2">
                  <c:v>59539</c:v>
                </c:pt>
                <c:pt idx="3">
                  <c:v>39469.599999999999</c:v>
                </c:pt>
                <c:pt idx="4">
                  <c:v>92742.06</c:v>
                </c:pt>
                <c:pt idx="5">
                  <c:v>86042</c:v>
                </c:pt>
                <c:pt idx="6">
                  <c:v>62432.04</c:v>
                </c:pt>
                <c:pt idx="7">
                  <c:v>67024.72</c:v>
                </c:pt>
                <c:pt idx="8">
                  <c:v>66373.16</c:v>
                </c:pt>
                <c:pt idx="9">
                  <c:v>69154.53</c:v>
                </c:pt>
              </c:numCache>
            </c:numRef>
          </c:val>
          <c:smooth val="0"/>
        </c:ser>
        <c:dLbls>
          <c:showLegendKey val="0"/>
          <c:showVal val="0"/>
          <c:showCatName val="0"/>
          <c:showSerName val="0"/>
          <c:showPercent val="0"/>
          <c:showBubbleSize val="0"/>
        </c:dLbls>
        <c:smooth val="0"/>
        <c:axId val="471300224"/>
        <c:axId val="471300616"/>
      </c:lineChart>
      <c:catAx>
        <c:axId val="471300224"/>
        <c:scaling>
          <c:orientation val="minMax"/>
        </c:scaling>
        <c:delete val="0"/>
        <c:axPos val="b"/>
        <c:numFmt formatCode="General" sourceLinked="1"/>
        <c:majorTickMark val="out"/>
        <c:minorTickMark val="none"/>
        <c:tickLblPos val="nextTo"/>
        <c:crossAx val="471300616"/>
        <c:crosses val="autoZero"/>
        <c:auto val="1"/>
        <c:lblAlgn val="ctr"/>
        <c:lblOffset val="100"/>
        <c:noMultiLvlLbl val="0"/>
      </c:catAx>
      <c:valAx>
        <c:axId val="471300616"/>
        <c:scaling>
          <c:orientation val="minMax"/>
        </c:scaling>
        <c:delete val="0"/>
        <c:axPos val="l"/>
        <c:majorGridlines>
          <c:spPr>
            <a:ln>
              <a:solidFill>
                <a:schemeClr val="accent1"/>
              </a:solidFill>
            </a:ln>
          </c:spPr>
        </c:majorGridlines>
        <c:numFmt formatCode="#,##0" sourceLinked="1"/>
        <c:majorTickMark val="out"/>
        <c:minorTickMark val="none"/>
        <c:tickLblPos val="nextTo"/>
        <c:crossAx val="471300224"/>
        <c:crosses val="autoZero"/>
        <c:crossBetween val="between"/>
      </c:valAx>
    </c:plotArea>
    <c:legend>
      <c:legendPos val="r"/>
      <c:layout>
        <c:manualLayout>
          <c:xMode val="edge"/>
          <c:yMode val="edge"/>
          <c:x val="0.73191202363773922"/>
          <c:y val="1.6018372635410442E-2"/>
          <c:w val="0.25603006150065399"/>
          <c:h val="0.19679714952075683"/>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NORTH CASCADE</a:t>
            </a:r>
          </a:p>
        </c:rich>
      </c:tx>
      <c:layout>
        <c:manualLayout>
          <c:xMode val="edge"/>
          <c:yMode val="edge"/>
          <c:x val="7.3802374444127128E-2"/>
          <c:y val="2.7613369501061167E-2"/>
        </c:manualLayout>
      </c:layout>
      <c:overlay val="1"/>
      <c:spPr>
        <a:solidFill>
          <a:sysClr val="window" lastClr="FFFFFF">
            <a:lumMod val="85000"/>
          </a:sysClr>
        </a:solidFill>
      </c:spPr>
    </c:title>
    <c:autoTitleDeleted val="0"/>
    <c:plotArea>
      <c:layout>
        <c:manualLayout>
          <c:layoutTarget val="inner"/>
          <c:xMode val="edge"/>
          <c:yMode val="edge"/>
          <c:x val="7.5995361066043515E-2"/>
          <c:y val="4.791445929129743E-2"/>
          <c:w val="0.91022670131763739"/>
          <c:h val="0.8439716649460749"/>
        </c:manualLayout>
      </c:layout>
      <c:lineChart>
        <c:grouping val="standard"/>
        <c:varyColors val="0"/>
        <c:ser>
          <c:idx val="0"/>
          <c:order val="0"/>
          <c:tx>
            <c:strRef>
              <c:f>'TAB2.0 Accomplishment Graphs'!$R$67</c:f>
              <c:strCache>
                <c:ptCount val="1"/>
                <c:pt idx="0">
                  <c:v>TOTAL AOP Planned Volume</c:v>
                </c:pt>
              </c:strCache>
            </c:strRef>
          </c:tx>
          <c:marker>
            <c:symbol val="none"/>
          </c:marker>
          <c:cat>
            <c:strRef>
              <c:f>'TAB2.0 Accomplishment Graphs'!$Q$68:$Q$87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Graphs'!$R$68:$R$87</c:f>
              <c:numCache>
                <c:formatCode>#,##0</c:formatCode>
                <c:ptCount val="10"/>
                <c:pt idx="0">
                  <c:v>23250</c:v>
                </c:pt>
                <c:pt idx="1">
                  <c:v>13970</c:v>
                </c:pt>
                <c:pt idx="2">
                  <c:v>14000</c:v>
                </c:pt>
                <c:pt idx="3">
                  <c:v>17688</c:v>
                </c:pt>
                <c:pt idx="4">
                  <c:v>14435</c:v>
                </c:pt>
                <c:pt idx="5">
                  <c:v>14200</c:v>
                </c:pt>
                <c:pt idx="6">
                  <c:v>11300</c:v>
                </c:pt>
                <c:pt idx="7">
                  <c:v>13900</c:v>
                </c:pt>
                <c:pt idx="8">
                  <c:v>20600</c:v>
                </c:pt>
                <c:pt idx="9">
                  <c:v>19000</c:v>
                </c:pt>
              </c:numCache>
            </c:numRef>
          </c:val>
          <c:smooth val="0"/>
        </c:ser>
        <c:ser>
          <c:idx val="1"/>
          <c:order val="1"/>
          <c:tx>
            <c:strRef>
              <c:f>'TAB2.0 Accomplishment Graphs'!$S$67</c:f>
              <c:strCache>
                <c:ptCount val="1"/>
                <c:pt idx="0">
                  <c:v>TOTALSold Volume</c:v>
                </c:pt>
              </c:strCache>
            </c:strRef>
          </c:tx>
          <c:marker>
            <c:symbol val="none"/>
          </c:marker>
          <c:cat>
            <c:strRef>
              <c:f>'TAB2.0 Accomplishment Graphs'!$Q$68:$Q$87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Graphs'!$S$68:$S$87</c:f>
              <c:numCache>
                <c:formatCode>#,##0_);[Red]\(#,##0\)</c:formatCode>
                <c:ptCount val="10"/>
                <c:pt idx="0">
                  <c:v>23565</c:v>
                </c:pt>
                <c:pt idx="1">
                  <c:v>16772</c:v>
                </c:pt>
                <c:pt idx="2">
                  <c:v>14991</c:v>
                </c:pt>
                <c:pt idx="3">
                  <c:v>16200</c:v>
                </c:pt>
                <c:pt idx="4">
                  <c:v>17556</c:v>
                </c:pt>
                <c:pt idx="5">
                  <c:v>14862</c:v>
                </c:pt>
                <c:pt idx="6">
                  <c:v>12946</c:v>
                </c:pt>
                <c:pt idx="7">
                  <c:v>19094</c:v>
                </c:pt>
                <c:pt idx="8">
                  <c:v>22278</c:v>
                </c:pt>
                <c:pt idx="9">
                  <c:v>18854</c:v>
                </c:pt>
              </c:numCache>
            </c:numRef>
          </c:val>
          <c:smooth val="0"/>
        </c:ser>
        <c:ser>
          <c:idx val="2"/>
          <c:order val="2"/>
          <c:tx>
            <c:strRef>
              <c:f>'TAB2.0 Accomplishment Graphs'!$T$67</c:f>
              <c:strCache>
                <c:ptCount val="1"/>
                <c:pt idx="0">
                  <c:v>TOTAL Harvested Volume (MBF)</c:v>
                </c:pt>
              </c:strCache>
            </c:strRef>
          </c:tx>
          <c:marker>
            <c:symbol val="none"/>
          </c:marker>
          <c:cat>
            <c:strRef>
              <c:f>'TAB2.0 Accomplishment Graphs'!$Q$68:$Q$87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Graphs'!$T$68:$T$87</c:f>
              <c:numCache>
                <c:formatCode>#,##0_);[Red]\(#,##0\)</c:formatCode>
                <c:ptCount val="10"/>
                <c:pt idx="0">
                  <c:v>26313.84</c:v>
                </c:pt>
                <c:pt idx="1">
                  <c:v>23360.66</c:v>
                </c:pt>
                <c:pt idx="2">
                  <c:v>17978</c:v>
                </c:pt>
                <c:pt idx="3">
                  <c:v>14863.949999999999</c:v>
                </c:pt>
                <c:pt idx="4">
                  <c:v>24678</c:v>
                </c:pt>
                <c:pt idx="5">
                  <c:v>28482</c:v>
                </c:pt>
                <c:pt idx="6">
                  <c:v>19227.53</c:v>
                </c:pt>
                <c:pt idx="7">
                  <c:v>5496.34</c:v>
                </c:pt>
                <c:pt idx="8">
                  <c:v>22156.29</c:v>
                </c:pt>
                <c:pt idx="9">
                  <c:v>18804.739999999998</c:v>
                </c:pt>
              </c:numCache>
            </c:numRef>
          </c:val>
          <c:smooth val="0"/>
        </c:ser>
        <c:dLbls>
          <c:showLegendKey val="0"/>
          <c:showVal val="0"/>
          <c:showCatName val="0"/>
          <c:showSerName val="0"/>
          <c:showPercent val="0"/>
          <c:showBubbleSize val="0"/>
        </c:dLbls>
        <c:smooth val="0"/>
        <c:axId val="471301400"/>
        <c:axId val="471301792"/>
      </c:lineChart>
      <c:catAx>
        <c:axId val="471301400"/>
        <c:scaling>
          <c:orientation val="minMax"/>
        </c:scaling>
        <c:delete val="0"/>
        <c:axPos val="b"/>
        <c:numFmt formatCode="General" sourceLinked="1"/>
        <c:majorTickMark val="out"/>
        <c:minorTickMark val="none"/>
        <c:tickLblPos val="nextTo"/>
        <c:crossAx val="471301792"/>
        <c:crosses val="autoZero"/>
        <c:auto val="1"/>
        <c:lblAlgn val="ctr"/>
        <c:lblOffset val="100"/>
        <c:noMultiLvlLbl val="0"/>
      </c:catAx>
      <c:valAx>
        <c:axId val="471301792"/>
        <c:scaling>
          <c:orientation val="minMax"/>
          <c:min val="2500"/>
        </c:scaling>
        <c:delete val="0"/>
        <c:axPos val="l"/>
        <c:majorGridlines>
          <c:spPr>
            <a:ln>
              <a:solidFill>
                <a:schemeClr val="accent1"/>
              </a:solidFill>
            </a:ln>
          </c:spPr>
        </c:majorGridlines>
        <c:numFmt formatCode="#,##0" sourceLinked="1"/>
        <c:majorTickMark val="out"/>
        <c:minorTickMark val="none"/>
        <c:tickLblPos val="nextTo"/>
        <c:crossAx val="471301400"/>
        <c:crosses val="autoZero"/>
        <c:crossBetween val="between"/>
      </c:valAx>
    </c:plotArea>
    <c:legend>
      <c:legendPos val="r"/>
      <c:layout>
        <c:manualLayout>
          <c:xMode val="edge"/>
          <c:yMode val="edge"/>
          <c:x val="0.72972997878387669"/>
          <c:y val="2.4553599862452761E-2"/>
          <c:w val="0.25535889423599262"/>
          <c:h val="0.18750021713145745"/>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WEST OREGON</a:t>
            </a:r>
          </a:p>
        </c:rich>
      </c:tx>
      <c:layout>
        <c:manualLayout>
          <c:xMode val="edge"/>
          <c:yMode val="edge"/>
          <c:x val="7.3802442651324934E-2"/>
          <c:y val="2.7613506353663837E-2"/>
        </c:manualLayout>
      </c:layout>
      <c:overlay val="1"/>
      <c:spPr>
        <a:solidFill>
          <a:sysClr val="window" lastClr="FFFFFF">
            <a:lumMod val="85000"/>
          </a:sysClr>
        </a:solidFill>
      </c:spPr>
    </c:title>
    <c:autoTitleDeleted val="0"/>
    <c:plotArea>
      <c:layout>
        <c:manualLayout>
          <c:layoutTarget val="inner"/>
          <c:xMode val="edge"/>
          <c:yMode val="edge"/>
          <c:x val="7.0492428547019023E-2"/>
          <c:y val="3.4033751299806056E-2"/>
          <c:w val="0.91065283284012288"/>
          <c:h val="0.84813833376108971"/>
        </c:manualLayout>
      </c:layout>
      <c:lineChart>
        <c:grouping val="standard"/>
        <c:varyColors val="0"/>
        <c:ser>
          <c:idx val="0"/>
          <c:order val="0"/>
          <c:tx>
            <c:strRef>
              <c:f>'TAB2.0 Accomplishment Graphs'!$R$89</c:f>
              <c:strCache>
                <c:ptCount val="1"/>
                <c:pt idx="0">
                  <c:v>TOTAL AOP Planned Volume</c:v>
                </c:pt>
              </c:strCache>
            </c:strRef>
          </c:tx>
          <c:marker>
            <c:symbol val="none"/>
          </c:marker>
          <c:cat>
            <c:strRef>
              <c:f>'TAB2.0 Accomplishment Graphs'!$Q$90:$Q$109</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Graphs'!$R$90:$R$109</c:f>
              <c:numCache>
                <c:formatCode>#,##0</c:formatCode>
                <c:ptCount val="10"/>
                <c:pt idx="0">
                  <c:v>9800</c:v>
                </c:pt>
                <c:pt idx="1">
                  <c:v>10400</c:v>
                </c:pt>
                <c:pt idx="2">
                  <c:v>10700</c:v>
                </c:pt>
                <c:pt idx="3">
                  <c:v>10800</c:v>
                </c:pt>
                <c:pt idx="4">
                  <c:v>10100</c:v>
                </c:pt>
                <c:pt idx="5">
                  <c:v>10300</c:v>
                </c:pt>
                <c:pt idx="6">
                  <c:v>10500</c:v>
                </c:pt>
                <c:pt idx="7">
                  <c:v>10025</c:v>
                </c:pt>
                <c:pt idx="8">
                  <c:v>9114</c:v>
                </c:pt>
                <c:pt idx="9">
                  <c:v>13200</c:v>
                </c:pt>
              </c:numCache>
            </c:numRef>
          </c:val>
          <c:smooth val="0"/>
        </c:ser>
        <c:ser>
          <c:idx val="1"/>
          <c:order val="1"/>
          <c:tx>
            <c:strRef>
              <c:f>'TAB2.0 Accomplishment Graphs'!$S$89</c:f>
              <c:strCache>
                <c:ptCount val="1"/>
                <c:pt idx="0">
                  <c:v>TOTALSold Volume</c:v>
                </c:pt>
              </c:strCache>
            </c:strRef>
          </c:tx>
          <c:marker>
            <c:symbol val="none"/>
          </c:marker>
          <c:cat>
            <c:strRef>
              <c:f>'TAB2.0 Accomplishment Graphs'!$Q$90:$Q$109</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Graphs'!$S$90:$S$109</c:f>
              <c:numCache>
                <c:formatCode>#,##0_);[Red]\(#,##0\)</c:formatCode>
                <c:ptCount val="10"/>
                <c:pt idx="0">
                  <c:v>16103</c:v>
                </c:pt>
                <c:pt idx="1">
                  <c:v>10037</c:v>
                </c:pt>
                <c:pt idx="2">
                  <c:v>11757</c:v>
                </c:pt>
                <c:pt idx="3">
                  <c:v>13551</c:v>
                </c:pt>
                <c:pt idx="4">
                  <c:v>9108</c:v>
                </c:pt>
                <c:pt idx="5">
                  <c:v>8902</c:v>
                </c:pt>
                <c:pt idx="6">
                  <c:v>10318</c:v>
                </c:pt>
                <c:pt idx="7">
                  <c:v>8702.9800000000014</c:v>
                </c:pt>
                <c:pt idx="8">
                  <c:v>6871</c:v>
                </c:pt>
                <c:pt idx="9">
                  <c:v>14424</c:v>
                </c:pt>
              </c:numCache>
            </c:numRef>
          </c:val>
          <c:smooth val="0"/>
        </c:ser>
        <c:ser>
          <c:idx val="2"/>
          <c:order val="2"/>
          <c:tx>
            <c:strRef>
              <c:f>'TAB2.0 Accomplishment Graphs'!$T$89</c:f>
              <c:strCache>
                <c:ptCount val="1"/>
                <c:pt idx="0">
                  <c:v>TOTAL Harvested Volume (MBF)</c:v>
                </c:pt>
              </c:strCache>
            </c:strRef>
          </c:tx>
          <c:marker>
            <c:symbol val="none"/>
          </c:marker>
          <c:cat>
            <c:strRef>
              <c:f>'TAB2.0 Accomplishment Graphs'!$Q$90:$Q$109</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Graphs'!$T$90:$T$109</c:f>
              <c:numCache>
                <c:formatCode>#,##0_);[Red]\(#,##0\)</c:formatCode>
                <c:ptCount val="10"/>
                <c:pt idx="0">
                  <c:v>13787.470000000001</c:v>
                </c:pt>
                <c:pt idx="1">
                  <c:v>12583.640000000001</c:v>
                </c:pt>
                <c:pt idx="2">
                  <c:v>8893</c:v>
                </c:pt>
                <c:pt idx="3">
                  <c:v>12704.189999999999</c:v>
                </c:pt>
                <c:pt idx="4">
                  <c:v>13703.68</c:v>
                </c:pt>
                <c:pt idx="5">
                  <c:v>6222</c:v>
                </c:pt>
                <c:pt idx="6">
                  <c:v>18993.75</c:v>
                </c:pt>
                <c:pt idx="7">
                  <c:v>12464.95</c:v>
                </c:pt>
                <c:pt idx="8">
                  <c:v>4510.33</c:v>
                </c:pt>
                <c:pt idx="9">
                  <c:v>12974.689999999999</c:v>
                </c:pt>
              </c:numCache>
            </c:numRef>
          </c:val>
          <c:smooth val="0"/>
        </c:ser>
        <c:dLbls>
          <c:showLegendKey val="0"/>
          <c:showVal val="0"/>
          <c:showCatName val="0"/>
          <c:showSerName val="0"/>
          <c:showPercent val="0"/>
          <c:showBubbleSize val="0"/>
        </c:dLbls>
        <c:smooth val="0"/>
        <c:axId val="471302576"/>
        <c:axId val="471302968"/>
      </c:lineChart>
      <c:catAx>
        <c:axId val="471302576"/>
        <c:scaling>
          <c:orientation val="minMax"/>
        </c:scaling>
        <c:delete val="0"/>
        <c:axPos val="b"/>
        <c:numFmt formatCode="General" sourceLinked="1"/>
        <c:majorTickMark val="out"/>
        <c:minorTickMark val="none"/>
        <c:tickLblPos val="nextTo"/>
        <c:crossAx val="471302968"/>
        <c:crosses val="autoZero"/>
        <c:auto val="1"/>
        <c:lblAlgn val="ctr"/>
        <c:lblOffset val="100"/>
        <c:noMultiLvlLbl val="0"/>
      </c:catAx>
      <c:valAx>
        <c:axId val="471302968"/>
        <c:scaling>
          <c:orientation val="minMax"/>
          <c:min val="4000"/>
        </c:scaling>
        <c:delete val="0"/>
        <c:axPos val="l"/>
        <c:majorGridlines>
          <c:spPr>
            <a:ln>
              <a:solidFill>
                <a:schemeClr val="accent1"/>
              </a:solidFill>
            </a:ln>
          </c:spPr>
        </c:majorGridlines>
        <c:numFmt formatCode="#,##0" sourceLinked="1"/>
        <c:majorTickMark val="out"/>
        <c:minorTickMark val="none"/>
        <c:tickLblPos val="nextTo"/>
        <c:crossAx val="471302576"/>
        <c:crosses val="autoZero"/>
        <c:crossBetween val="between"/>
      </c:valAx>
    </c:plotArea>
    <c:legend>
      <c:legendPos val="r"/>
      <c:layout>
        <c:manualLayout>
          <c:xMode val="edge"/>
          <c:yMode val="edge"/>
          <c:x val="0.72794859150022662"/>
          <c:y val="2.9498971125003531E-2"/>
          <c:w val="0.25603006150065399"/>
          <c:h val="0.18300702265194871"/>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WEST LANE</a:t>
            </a:r>
          </a:p>
        </c:rich>
      </c:tx>
      <c:layout>
        <c:manualLayout>
          <c:xMode val="edge"/>
          <c:yMode val="edge"/>
          <c:x val="7.3802493438320224E-2"/>
          <c:y val="2.7613181416839029E-2"/>
        </c:manualLayout>
      </c:layout>
      <c:overlay val="1"/>
      <c:spPr>
        <a:solidFill>
          <a:sysClr val="window" lastClr="FFFFFF">
            <a:lumMod val="85000"/>
          </a:sysClr>
        </a:solidFill>
      </c:spPr>
    </c:title>
    <c:autoTitleDeleted val="0"/>
    <c:plotArea>
      <c:layout>
        <c:manualLayout>
          <c:layoutTarget val="inner"/>
          <c:xMode val="edge"/>
          <c:yMode val="edge"/>
          <c:x val="8.2441710701281701E-2"/>
          <c:y val="4.4455532167389969E-2"/>
          <c:w val="0.90341151653125584"/>
          <c:h val="0.84090572836811239"/>
        </c:manualLayout>
      </c:layout>
      <c:lineChart>
        <c:grouping val="standard"/>
        <c:varyColors val="0"/>
        <c:ser>
          <c:idx val="0"/>
          <c:order val="0"/>
          <c:tx>
            <c:strRef>
              <c:f>'TAB2.0 Accomplishment Graphs'!$R$111</c:f>
              <c:strCache>
                <c:ptCount val="1"/>
                <c:pt idx="0">
                  <c:v>TOTAL AOP Planned Volume</c:v>
                </c:pt>
              </c:strCache>
            </c:strRef>
          </c:tx>
          <c:marker>
            <c:symbol val="none"/>
          </c:marker>
          <c:cat>
            <c:strRef>
              <c:f>'TAB2.0 Accomplishment Graphs'!$Q$112:$Q$131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Graphs'!$R$112:$R$131</c:f>
              <c:numCache>
                <c:formatCode>#,##0</c:formatCode>
                <c:ptCount val="10"/>
                <c:pt idx="0">
                  <c:v>10630</c:v>
                </c:pt>
                <c:pt idx="1">
                  <c:v>8700</c:v>
                </c:pt>
                <c:pt idx="2">
                  <c:v>9300</c:v>
                </c:pt>
                <c:pt idx="3">
                  <c:v>6900</c:v>
                </c:pt>
                <c:pt idx="4">
                  <c:v>8700</c:v>
                </c:pt>
                <c:pt idx="5">
                  <c:v>7000</c:v>
                </c:pt>
                <c:pt idx="6">
                  <c:v>5000</c:v>
                </c:pt>
                <c:pt idx="7">
                  <c:v>6400</c:v>
                </c:pt>
                <c:pt idx="8">
                  <c:v>7493</c:v>
                </c:pt>
                <c:pt idx="9">
                  <c:v>6500</c:v>
                </c:pt>
              </c:numCache>
            </c:numRef>
          </c:val>
          <c:smooth val="0"/>
        </c:ser>
        <c:ser>
          <c:idx val="1"/>
          <c:order val="1"/>
          <c:tx>
            <c:strRef>
              <c:f>'TAB2.0 Accomplishment Graphs'!$S$111</c:f>
              <c:strCache>
                <c:ptCount val="1"/>
                <c:pt idx="0">
                  <c:v>TOTALSold Volume</c:v>
                </c:pt>
              </c:strCache>
            </c:strRef>
          </c:tx>
          <c:marker>
            <c:symbol val="none"/>
          </c:marker>
          <c:cat>
            <c:strRef>
              <c:f>'TAB2.0 Accomplishment Graphs'!$Q$112:$Q$131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Graphs'!$S$112:$S$131</c:f>
              <c:numCache>
                <c:formatCode>#,##0_);[Red]\(#,##0\)</c:formatCode>
                <c:ptCount val="10"/>
                <c:pt idx="0">
                  <c:v>7036</c:v>
                </c:pt>
                <c:pt idx="1">
                  <c:v>11947</c:v>
                </c:pt>
                <c:pt idx="2">
                  <c:v>10568</c:v>
                </c:pt>
                <c:pt idx="3">
                  <c:v>9520</c:v>
                </c:pt>
                <c:pt idx="4">
                  <c:v>8785</c:v>
                </c:pt>
                <c:pt idx="5">
                  <c:v>8039</c:v>
                </c:pt>
                <c:pt idx="6">
                  <c:v>5184</c:v>
                </c:pt>
                <c:pt idx="7">
                  <c:v>7742</c:v>
                </c:pt>
                <c:pt idx="8">
                  <c:v>7423</c:v>
                </c:pt>
                <c:pt idx="9">
                  <c:v>6799</c:v>
                </c:pt>
              </c:numCache>
            </c:numRef>
          </c:val>
          <c:smooth val="0"/>
        </c:ser>
        <c:ser>
          <c:idx val="2"/>
          <c:order val="2"/>
          <c:tx>
            <c:strRef>
              <c:f>'TAB2.0 Accomplishment Graphs'!$T$111</c:f>
              <c:strCache>
                <c:ptCount val="1"/>
                <c:pt idx="0">
                  <c:v>TOTAL Harvested Volume (MBF)</c:v>
                </c:pt>
              </c:strCache>
            </c:strRef>
          </c:tx>
          <c:marker>
            <c:symbol val="none"/>
          </c:marker>
          <c:cat>
            <c:strRef>
              <c:f>'TAB2.0 Accomplishment Graphs'!$Q$112:$Q$131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Graphs'!$T$112:$T$131</c:f>
              <c:numCache>
                <c:formatCode>#,##0_);[Red]\(#,##0\)</c:formatCode>
                <c:ptCount val="10"/>
                <c:pt idx="0">
                  <c:v>7415.76</c:v>
                </c:pt>
                <c:pt idx="1">
                  <c:v>4553.82</c:v>
                </c:pt>
                <c:pt idx="2">
                  <c:v>9514</c:v>
                </c:pt>
                <c:pt idx="3">
                  <c:v>11124.48</c:v>
                </c:pt>
                <c:pt idx="4">
                  <c:v>6831</c:v>
                </c:pt>
                <c:pt idx="5">
                  <c:v>10591</c:v>
                </c:pt>
                <c:pt idx="6">
                  <c:v>24644.720000000001</c:v>
                </c:pt>
                <c:pt idx="7">
                  <c:v>13740.77</c:v>
                </c:pt>
                <c:pt idx="8">
                  <c:v>10980.710000000001</c:v>
                </c:pt>
                <c:pt idx="9">
                  <c:v>7949.22</c:v>
                </c:pt>
              </c:numCache>
            </c:numRef>
          </c:val>
          <c:smooth val="0"/>
        </c:ser>
        <c:dLbls>
          <c:showLegendKey val="0"/>
          <c:showVal val="0"/>
          <c:showCatName val="0"/>
          <c:showSerName val="0"/>
          <c:showPercent val="0"/>
          <c:showBubbleSize val="0"/>
        </c:dLbls>
        <c:smooth val="0"/>
        <c:axId val="471303752"/>
        <c:axId val="471304144"/>
      </c:lineChart>
      <c:catAx>
        <c:axId val="471303752"/>
        <c:scaling>
          <c:orientation val="minMax"/>
        </c:scaling>
        <c:delete val="0"/>
        <c:axPos val="b"/>
        <c:numFmt formatCode="General" sourceLinked="1"/>
        <c:majorTickMark val="out"/>
        <c:minorTickMark val="none"/>
        <c:tickLblPos val="nextTo"/>
        <c:crossAx val="471304144"/>
        <c:crosses val="autoZero"/>
        <c:auto val="1"/>
        <c:lblAlgn val="ctr"/>
        <c:lblOffset val="100"/>
        <c:noMultiLvlLbl val="0"/>
      </c:catAx>
      <c:valAx>
        <c:axId val="471304144"/>
        <c:scaling>
          <c:orientation val="minMax"/>
          <c:max val="27000"/>
          <c:min val="0"/>
        </c:scaling>
        <c:delete val="0"/>
        <c:axPos val="l"/>
        <c:majorGridlines>
          <c:spPr>
            <a:ln>
              <a:solidFill>
                <a:schemeClr val="accent1"/>
              </a:solidFill>
            </a:ln>
          </c:spPr>
        </c:majorGridlines>
        <c:numFmt formatCode="#,##0" sourceLinked="1"/>
        <c:majorTickMark val="out"/>
        <c:minorTickMark val="none"/>
        <c:tickLblPos val="nextTo"/>
        <c:crossAx val="471303752"/>
        <c:crosses val="autoZero"/>
        <c:crossBetween val="between"/>
      </c:valAx>
    </c:plotArea>
    <c:legend>
      <c:legendPos val="r"/>
      <c:layout>
        <c:manualLayout>
          <c:xMode val="edge"/>
          <c:yMode val="edge"/>
          <c:x val="0.73428647197501529"/>
          <c:y val="2.2967530455212638E-2"/>
          <c:w val="0.25441071644935215"/>
          <c:h val="0.18494651573065396"/>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COOS</a:t>
            </a:r>
          </a:p>
        </c:rich>
      </c:tx>
      <c:layout>
        <c:manualLayout>
          <c:xMode val="edge"/>
          <c:yMode val="edge"/>
          <c:x val="7.3802459475174303E-2"/>
          <c:y val="2.761329418145772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Graphs'!$R$133</c:f>
              <c:strCache>
                <c:ptCount val="1"/>
                <c:pt idx="0">
                  <c:v>TOTAL AOP Planned Volume</c:v>
                </c:pt>
              </c:strCache>
            </c:strRef>
          </c:tx>
          <c:marker>
            <c:symbol val="none"/>
          </c:marker>
          <c:cat>
            <c:strRef>
              <c:f>'TAB2.0 Accomplishment Graphs'!$Q$134:$Q$153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Graphs'!$R$134:$R$153</c:f>
              <c:numCache>
                <c:formatCode>#,##0</c:formatCode>
                <c:ptCount val="10"/>
                <c:pt idx="0">
                  <c:v>24538</c:v>
                </c:pt>
                <c:pt idx="1">
                  <c:v>23314</c:v>
                </c:pt>
                <c:pt idx="2">
                  <c:v>21400</c:v>
                </c:pt>
                <c:pt idx="3">
                  <c:v>30045.75</c:v>
                </c:pt>
                <c:pt idx="4">
                  <c:v>25120</c:v>
                </c:pt>
                <c:pt idx="5">
                  <c:v>27614</c:v>
                </c:pt>
                <c:pt idx="6">
                  <c:v>0</c:v>
                </c:pt>
                <c:pt idx="7">
                  <c:v>13956</c:v>
                </c:pt>
                <c:pt idx="8">
                  <c:v>10300</c:v>
                </c:pt>
                <c:pt idx="9">
                  <c:v>13000</c:v>
                </c:pt>
              </c:numCache>
            </c:numRef>
          </c:val>
          <c:smooth val="0"/>
        </c:ser>
        <c:ser>
          <c:idx val="1"/>
          <c:order val="1"/>
          <c:tx>
            <c:strRef>
              <c:f>'TAB2.0 Accomplishment Graphs'!$S$133</c:f>
              <c:strCache>
                <c:ptCount val="1"/>
                <c:pt idx="0">
                  <c:v>TOTALSold Volume</c:v>
                </c:pt>
              </c:strCache>
            </c:strRef>
          </c:tx>
          <c:marker>
            <c:symbol val="none"/>
          </c:marker>
          <c:cat>
            <c:strRef>
              <c:f>'TAB2.0 Accomplishment Graphs'!$Q$134:$Q$153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Graphs'!$S$134:$S$153</c:f>
              <c:numCache>
                <c:formatCode>#,##0_);[Red]\(#,##0\)</c:formatCode>
                <c:ptCount val="10"/>
                <c:pt idx="0">
                  <c:v>31178</c:v>
                </c:pt>
                <c:pt idx="1">
                  <c:v>9270</c:v>
                </c:pt>
                <c:pt idx="2">
                  <c:v>27496</c:v>
                </c:pt>
                <c:pt idx="3">
                  <c:v>33901.092499999999</c:v>
                </c:pt>
                <c:pt idx="4">
                  <c:v>22832</c:v>
                </c:pt>
                <c:pt idx="5">
                  <c:v>22445</c:v>
                </c:pt>
                <c:pt idx="6">
                  <c:v>0</c:v>
                </c:pt>
                <c:pt idx="7">
                  <c:v>11458</c:v>
                </c:pt>
                <c:pt idx="8">
                  <c:v>6703</c:v>
                </c:pt>
                <c:pt idx="9">
                  <c:v>1961</c:v>
                </c:pt>
              </c:numCache>
            </c:numRef>
          </c:val>
          <c:smooth val="0"/>
        </c:ser>
        <c:ser>
          <c:idx val="2"/>
          <c:order val="2"/>
          <c:tx>
            <c:strRef>
              <c:f>'TAB2.0 Accomplishment Graphs'!$T$133</c:f>
              <c:strCache>
                <c:ptCount val="1"/>
                <c:pt idx="0">
                  <c:v>TOTAL Harvested Volume (MBF)</c:v>
                </c:pt>
              </c:strCache>
            </c:strRef>
          </c:tx>
          <c:marker>
            <c:symbol val="none"/>
          </c:marker>
          <c:cat>
            <c:strRef>
              <c:f>'TAB2.0 Accomplishment Graphs'!$Q$134:$Q$153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Graphs'!$T$134:$T$153</c:f>
              <c:numCache>
                <c:formatCode>#,##0_);[Red]\(#,##0\)</c:formatCode>
                <c:ptCount val="10"/>
                <c:pt idx="0">
                  <c:v>12787</c:v>
                </c:pt>
                <c:pt idx="1">
                  <c:v>23408.050000000003</c:v>
                </c:pt>
                <c:pt idx="2">
                  <c:v>19938</c:v>
                </c:pt>
                <c:pt idx="3">
                  <c:v>21069.309999999998</c:v>
                </c:pt>
                <c:pt idx="4">
                  <c:v>17774</c:v>
                </c:pt>
                <c:pt idx="5">
                  <c:v>30544</c:v>
                </c:pt>
                <c:pt idx="6">
                  <c:v>29420.32</c:v>
                </c:pt>
                <c:pt idx="7">
                  <c:v>4514.2700000000004</c:v>
                </c:pt>
                <c:pt idx="8">
                  <c:v>6956.86</c:v>
                </c:pt>
                <c:pt idx="9">
                  <c:v>8289.49</c:v>
                </c:pt>
              </c:numCache>
            </c:numRef>
          </c:val>
          <c:smooth val="0"/>
        </c:ser>
        <c:dLbls>
          <c:showLegendKey val="0"/>
          <c:showVal val="0"/>
          <c:showCatName val="0"/>
          <c:showSerName val="0"/>
          <c:showPercent val="0"/>
          <c:showBubbleSize val="0"/>
        </c:dLbls>
        <c:smooth val="0"/>
        <c:axId val="471304928"/>
        <c:axId val="471305320"/>
      </c:lineChart>
      <c:catAx>
        <c:axId val="471304928"/>
        <c:scaling>
          <c:orientation val="minMax"/>
        </c:scaling>
        <c:delete val="0"/>
        <c:axPos val="b"/>
        <c:numFmt formatCode="General" sourceLinked="1"/>
        <c:majorTickMark val="out"/>
        <c:minorTickMark val="none"/>
        <c:tickLblPos val="nextTo"/>
        <c:crossAx val="471305320"/>
        <c:crosses val="autoZero"/>
        <c:auto val="1"/>
        <c:lblAlgn val="ctr"/>
        <c:lblOffset val="100"/>
        <c:noMultiLvlLbl val="0"/>
      </c:catAx>
      <c:valAx>
        <c:axId val="471305320"/>
        <c:scaling>
          <c:orientation val="minMax"/>
          <c:min val="0"/>
        </c:scaling>
        <c:delete val="0"/>
        <c:axPos val="l"/>
        <c:majorGridlines>
          <c:spPr>
            <a:ln>
              <a:solidFill>
                <a:schemeClr val="accent1"/>
              </a:solidFill>
            </a:ln>
          </c:spPr>
        </c:majorGridlines>
        <c:numFmt formatCode="#,##0" sourceLinked="1"/>
        <c:majorTickMark val="out"/>
        <c:minorTickMark val="none"/>
        <c:tickLblPos val="nextTo"/>
        <c:crossAx val="471304928"/>
        <c:crosses val="autoZero"/>
        <c:crossBetween val="between"/>
      </c:valAx>
    </c:plotArea>
    <c:legend>
      <c:legendPos val="r"/>
      <c:layout>
        <c:manualLayout>
          <c:xMode val="edge"/>
          <c:yMode val="edge"/>
          <c:x val="0.73277509054974066"/>
          <c:y val="1.7699173598804734E-2"/>
          <c:w val="0.25512118781528453"/>
          <c:h val="0.19026611618715089"/>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GRANTS PASS</a:t>
            </a:r>
          </a:p>
        </c:rich>
      </c:tx>
      <c:layout>
        <c:manualLayout>
          <c:xMode val="edge"/>
          <c:yMode val="edge"/>
          <c:x val="7.3802527261411913E-2"/>
          <c:y val="2.7613553079134798E-2"/>
        </c:manualLayout>
      </c:layout>
      <c:overlay val="1"/>
      <c:spPr>
        <a:solidFill>
          <a:sysClr val="window" lastClr="FFFFFF">
            <a:lumMod val="85000"/>
          </a:sysClr>
        </a:solidFill>
      </c:spPr>
    </c:title>
    <c:autoTitleDeleted val="0"/>
    <c:plotArea>
      <c:layout>
        <c:manualLayout>
          <c:layoutTarget val="inner"/>
          <c:xMode val="edge"/>
          <c:yMode val="edge"/>
          <c:x val="6.6880816233189755E-2"/>
          <c:y val="2.631792523660902E-2"/>
          <c:w val="0.91941965224764011"/>
          <c:h val="0.84408033449729136"/>
        </c:manualLayout>
      </c:layout>
      <c:lineChart>
        <c:grouping val="standard"/>
        <c:varyColors val="0"/>
        <c:ser>
          <c:idx val="0"/>
          <c:order val="0"/>
          <c:tx>
            <c:strRef>
              <c:f>'TAB2.0 Accomplishment Graphs'!$R$155</c:f>
              <c:strCache>
                <c:ptCount val="1"/>
                <c:pt idx="0">
                  <c:v>TOTAL AOP Planned Volume</c:v>
                </c:pt>
              </c:strCache>
            </c:strRef>
          </c:tx>
          <c:marker>
            <c:symbol val="none"/>
          </c:marker>
          <c:cat>
            <c:strRef>
              <c:f>'TAB2.0 Accomplishment Graphs'!$Q$156:$Q$175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Graphs'!$R$156:$R$175</c:f>
              <c:numCache>
                <c:formatCode>#,##0</c:formatCode>
                <c:ptCount val="10"/>
                <c:pt idx="0">
                  <c:v>4305</c:v>
                </c:pt>
                <c:pt idx="1">
                  <c:v>1071</c:v>
                </c:pt>
                <c:pt idx="2">
                  <c:v>1800</c:v>
                </c:pt>
                <c:pt idx="3">
                  <c:v>1265</c:v>
                </c:pt>
                <c:pt idx="4">
                  <c:v>3200</c:v>
                </c:pt>
                <c:pt idx="5">
                  <c:v>1585</c:v>
                </c:pt>
                <c:pt idx="6">
                  <c:v>2000</c:v>
                </c:pt>
                <c:pt idx="7">
                  <c:v>2126</c:v>
                </c:pt>
                <c:pt idx="8">
                  <c:v>1730</c:v>
                </c:pt>
                <c:pt idx="9">
                  <c:v>1662</c:v>
                </c:pt>
              </c:numCache>
            </c:numRef>
          </c:val>
          <c:smooth val="0"/>
        </c:ser>
        <c:ser>
          <c:idx val="1"/>
          <c:order val="1"/>
          <c:tx>
            <c:strRef>
              <c:f>'TAB2.0 Accomplishment Graphs'!$S$155</c:f>
              <c:strCache>
                <c:ptCount val="1"/>
                <c:pt idx="0">
                  <c:v>TOTALSold Volume</c:v>
                </c:pt>
              </c:strCache>
            </c:strRef>
          </c:tx>
          <c:marker>
            <c:symbol val="none"/>
          </c:marker>
          <c:cat>
            <c:strRef>
              <c:f>'TAB2.0 Accomplishment Graphs'!$Q$156:$Q$175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Graphs'!$S$156:$S$175</c:f>
              <c:numCache>
                <c:formatCode>#,##0_);[Red]\(#,##0\)</c:formatCode>
                <c:ptCount val="10"/>
                <c:pt idx="0">
                  <c:v>1406</c:v>
                </c:pt>
                <c:pt idx="1">
                  <c:v>2020</c:v>
                </c:pt>
                <c:pt idx="2">
                  <c:v>3117</c:v>
                </c:pt>
                <c:pt idx="3">
                  <c:v>1663</c:v>
                </c:pt>
                <c:pt idx="4">
                  <c:v>2249</c:v>
                </c:pt>
                <c:pt idx="5">
                  <c:v>2326</c:v>
                </c:pt>
                <c:pt idx="6">
                  <c:v>1458</c:v>
                </c:pt>
                <c:pt idx="7">
                  <c:v>2149</c:v>
                </c:pt>
                <c:pt idx="8">
                  <c:v>1936</c:v>
                </c:pt>
                <c:pt idx="9">
                  <c:v>1447</c:v>
                </c:pt>
              </c:numCache>
            </c:numRef>
          </c:val>
          <c:smooth val="0"/>
        </c:ser>
        <c:ser>
          <c:idx val="2"/>
          <c:order val="2"/>
          <c:tx>
            <c:strRef>
              <c:f>'TAB2.0 Accomplishment Graphs'!$T$155</c:f>
              <c:strCache>
                <c:ptCount val="1"/>
                <c:pt idx="0">
                  <c:v>TOTAL Harvested Volume (MBF)</c:v>
                </c:pt>
              </c:strCache>
            </c:strRef>
          </c:tx>
          <c:marker>
            <c:symbol val="none"/>
          </c:marker>
          <c:cat>
            <c:strRef>
              <c:f>'TAB2.0 Accomplishment Graphs'!$Q$156:$Q$175</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Graphs'!$T$156:$T$175</c:f>
              <c:numCache>
                <c:formatCode>#,##0_);[Red]\(#,##0\)</c:formatCode>
                <c:ptCount val="10"/>
                <c:pt idx="0">
                  <c:v>1243.33</c:v>
                </c:pt>
                <c:pt idx="1">
                  <c:v>1847.69</c:v>
                </c:pt>
                <c:pt idx="2">
                  <c:v>770</c:v>
                </c:pt>
                <c:pt idx="3">
                  <c:v>2631.95</c:v>
                </c:pt>
                <c:pt idx="4">
                  <c:v>1695</c:v>
                </c:pt>
                <c:pt idx="5">
                  <c:v>1250</c:v>
                </c:pt>
                <c:pt idx="6">
                  <c:v>3200.26</c:v>
                </c:pt>
                <c:pt idx="7">
                  <c:v>3802.0299999999997</c:v>
                </c:pt>
                <c:pt idx="8">
                  <c:v>1291.8400000000001</c:v>
                </c:pt>
                <c:pt idx="9">
                  <c:v>1596.6</c:v>
                </c:pt>
              </c:numCache>
            </c:numRef>
          </c:val>
          <c:smooth val="0"/>
        </c:ser>
        <c:dLbls>
          <c:showLegendKey val="0"/>
          <c:showVal val="0"/>
          <c:showCatName val="0"/>
          <c:showSerName val="0"/>
          <c:showPercent val="0"/>
          <c:showBubbleSize val="0"/>
        </c:dLbls>
        <c:smooth val="0"/>
        <c:axId val="471306104"/>
        <c:axId val="471306496"/>
      </c:lineChart>
      <c:catAx>
        <c:axId val="471306104"/>
        <c:scaling>
          <c:orientation val="minMax"/>
        </c:scaling>
        <c:delete val="0"/>
        <c:axPos val="b"/>
        <c:numFmt formatCode="General" sourceLinked="1"/>
        <c:majorTickMark val="out"/>
        <c:minorTickMark val="none"/>
        <c:tickLblPos val="nextTo"/>
        <c:crossAx val="471306496"/>
        <c:crosses val="autoZero"/>
        <c:auto val="1"/>
        <c:lblAlgn val="ctr"/>
        <c:lblOffset val="100"/>
        <c:noMultiLvlLbl val="0"/>
      </c:catAx>
      <c:valAx>
        <c:axId val="471306496"/>
        <c:scaling>
          <c:orientation val="minMax"/>
          <c:max val="4500"/>
        </c:scaling>
        <c:delete val="0"/>
        <c:axPos val="l"/>
        <c:majorGridlines>
          <c:spPr>
            <a:ln>
              <a:solidFill>
                <a:schemeClr val="accent1"/>
              </a:solidFill>
            </a:ln>
          </c:spPr>
        </c:majorGridlines>
        <c:numFmt formatCode="#,##0" sourceLinked="1"/>
        <c:majorTickMark val="out"/>
        <c:minorTickMark val="none"/>
        <c:tickLblPos val="nextTo"/>
        <c:crossAx val="471306104"/>
        <c:crosses val="autoZero"/>
        <c:crossBetween val="between"/>
      </c:valAx>
    </c:plotArea>
    <c:legend>
      <c:legendPos val="r"/>
      <c:layout>
        <c:manualLayout>
          <c:xMode val="edge"/>
          <c:yMode val="edge"/>
          <c:x val="0.42442456574103138"/>
          <c:y val="3.1180333580432467E-2"/>
          <c:w val="0.2557928344491831"/>
          <c:h val="0.19153707378884263"/>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KLAMATH</a:t>
            </a:r>
          </a:p>
        </c:rich>
      </c:tx>
      <c:layout>
        <c:manualLayout>
          <c:xMode val="edge"/>
          <c:yMode val="edge"/>
          <c:x val="7.380251029772357E-2"/>
          <c:y val="2.7613658221800286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Graphs'!$R$177</c:f>
              <c:strCache>
                <c:ptCount val="1"/>
                <c:pt idx="0">
                  <c:v>TOTAL AOP Planned Volume</c:v>
                </c:pt>
              </c:strCache>
            </c:strRef>
          </c:tx>
          <c:marker>
            <c:symbol val="none"/>
          </c:marker>
          <c:cat>
            <c:strRef>
              <c:f>'TAB2.0 Accomplishment Graphs'!$Q$178:$Q$197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Graphs'!$R$178:$R$197</c:f>
              <c:numCache>
                <c:formatCode>#,##0</c:formatCode>
                <c:ptCount val="10"/>
                <c:pt idx="0">
                  <c:v>7200</c:v>
                </c:pt>
                <c:pt idx="1">
                  <c:v>6300</c:v>
                </c:pt>
                <c:pt idx="2">
                  <c:v>6000</c:v>
                </c:pt>
                <c:pt idx="3">
                  <c:v>7196</c:v>
                </c:pt>
                <c:pt idx="4">
                  <c:v>6300</c:v>
                </c:pt>
                <c:pt idx="5">
                  <c:v>4930</c:v>
                </c:pt>
                <c:pt idx="6">
                  <c:v>3600</c:v>
                </c:pt>
                <c:pt idx="7">
                  <c:v>14087</c:v>
                </c:pt>
                <c:pt idx="8">
                  <c:v>4322</c:v>
                </c:pt>
                <c:pt idx="9">
                  <c:v>8000</c:v>
                </c:pt>
              </c:numCache>
            </c:numRef>
          </c:val>
          <c:smooth val="0"/>
        </c:ser>
        <c:ser>
          <c:idx val="1"/>
          <c:order val="1"/>
          <c:tx>
            <c:strRef>
              <c:f>'TAB2.0 Accomplishment Graphs'!$S$177</c:f>
              <c:strCache>
                <c:ptCount val="1"/>
                <c:pt idx="0">
                  <c:v>TOTALSold Volume</c:v>
                </c:pt>
              </c:strCache>
            </c:strRef>
          </c:tx>
          <c:marker>
            <c:symbol val="none"/>
          </c:marker>
          <c:cat>
            <c:strRef>
              <c:f>'TAB2.0 Accomplishment Graphs'!$Q$178:$Q$197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Graphs'!$S$178:$S$197</c:f>
              <c:numCache>
                <c:formatCode>#,##0_);[Red]\(#,##0\)</c:formatCode>
                <c:ptCount val="10"/>
                <c:pt idx="0">
                  <c:v>11275</c:v>
                </c:pt>
                <c:pt idx="1">
                  <c:v>7961</c:v>
                </c:pt>
                <c:pt idx="2">
                  <c:v>14683</c:v>
                </c:pt>
                <c:pt idx="3">
                  <c:v>7793</c:v>
                </c:pt>
                <c:pt idx="4">
                  <c:v>7866</c:v>
                </c:pt>
                <c:pt idx="5">
                  <c:v>14862</c:v>
                </c:pt>
                <c:pt idx="6">
                  <c:v>2658</c:v>
                </c:pt>
                <c:pt idx="7">
                  <c:v>11042</c:v>
                </c:pt>
                <c:pt idx="8">
                  <c:v>3456</c:v>
                </c:pt>
                <c:pt idx="9">
                  <c:v>5532</c:v>
                </c:pt>
              </c:numCache>
            </c:numRef>
          </c:val>
          <c:smooth val="0"/>
        </c:ser>
        <c:ser>
          <c:idx val="2"/>
          <c:order val="2"/>
          <c:tx>
            <c:strRef>
              <c:f>'TAB2.0 Accomplishment Graphs'!$T$177</c:f>
              <c:strCache>
                <c:ptCount val="1"/>
                <c:pt idx="0">
                  <c:v>TOTAL Harvested Volume (MBF)</c:v>
                </c:pt>
              </c:strCache>
            </c:strRef>
          </c:tx>
          <c:marker>
            <c:symbol val="none"/>
          </c:marker>
          <c:cat>
            <c:strRef>
              <c:f>'TAB2.0 Accomplishment Graphs'!$Q$178:$Q$197</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Graphs'!$T$178:$T$197</c:f>
              <c:numCache>
                <c:formatCode>#,##0_);[Red]\(#,##0\)</c:formatCode>
                <c:ptCount val="10"/>
                <c:pt idx="0">
                  <c:v>8220.67</c:v>
                </c:pt>
                <c:pt idx="1">
                  <c:v>8725.24</c:v>
                </c:pt>
                <c:pt idx="2">
                  <c:v>7947</c:v>
                </c:pt>
                <c:pt idx="3">
                  <c:v>9329.9</c:v>
                </c:pt>
                <c:pt idx="4">
                  <c:v>12164</c:v>
                </c:pt>
                <c:pt idx="5">
                  <c:v>18601</c:v>
                </c:pt>
                <c:pt idx="6">
                  <c:v>14004.94</c:v>
                </c:pt>
                <c:pt idx="7">
                  <c:v>12646.59</c:v>
                </c:pt>
                <c:pt idx="8">
                  <c:v>8760</c:v>
                </c:pt>
                <c:pt idx="9">
                  <c:v>17487.88</c:v>
                </c:pt>
              </c:numCache>
            </c:numRef>
          </c:val>
          <c:smooth val="0"/>
        </c:ser>
        <c:dLbls>
          <c:showLegendKey val="0"/>
          <c:showVal val="0"/>
          <c:showCatName val="0"/>
          <c:showSerName val="0"/>
          <c:showPercent val="0"/>
          <c:showBubbleSize val="0"/>
        </c:dLbls>
        <c:smooth val="0"/>
        <c:axId val="472645760"/>
        <c:axId val="472646152"/>
      </c:lineChart>
      <c:catAx>
        <c:axId val="472645760"/>
        <c:scaling>
          <c:orientation val="minMax"/>
        </c:scaling>
        <c:delete val="0"/>
        <c:axPos val="b"/>
        <c:numFmt formatCode="General" sourceLinked="1"/>
        <c:majorTickMark val="out"/>
        <c:minorTickMark val="none"/>
        <c:tickLblPos val="nextTo"/>
        <c:crossAx val="472646152"/>
        <c:crosses val="autoZero"/>
        <c:auto val="1"/>
        <c:lblAlgn val="ctr"/>
        <c:lblOffset val="100"/>
        <c:noMultiLvlLbl val="0"/>
      </c:catAx>
      <c:valAx>
        <c:axId val="472646152"/>
        <c:scaling>
          <c:orientation val="minMax"/>
        </c:scaling>
        <c:delete val="0"/>
        <c:axPos val="l"/>
        <c:majorGridlines>
          <c:spPr>
            <a:ln>
              <a:solidFill>
                <a:schemeClr val="accent1"/>
              </a:solidFill>
            </a:ln>
          </c:spPr>
        </c:majorGridlines>
        <c:numFmt formatCode="#,##0" sourceLinked="1"/>
        <c:majorTickMark val="out"/>
        <c:minorTickMark val="none"/>
        <c:tickLblPos val="nextTo"/>
        <c:crossAx val="472645760"/>
        <c:crosses val="autoZero"/>
        <c:crossBetween val="between"/>
      </c:valAx>
    </c:plotArea>
    <c:legend>
      <c:legendPos val="r"/>
      <c:layout>
        <c:manualLayout>
          <c:xMode val="edge"/>
          <c:yMode val="edge"/>
          <c:x val="0.65393101068879744"/>
          <c:y val="3.0535790919162517E-2"/>
          <c:w val="0.25693174582047862"/>
          <c:h val="0.18502202643171808"/>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BIG THREE</a:t>
            </a:r>
          </a:p>
        </c:rich>
      </c:tx>
      <c:layout>
        <c:manualLayout>
          <c:xMode val="edge"/>
          <c:yMode val="edge"/>
          <c:x val="7.3802425931326479E-2"/>
          <c:y val="2.7613423322084742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Graphs'!$R$200</c:f>
              <c:strCache>
                <c:ptCount val="1"/>
                <c:pt idx="0">
                  <c:v>TOTAL AOP Planned Volume</c:v>
                </c:pt>
              </c:strCache>
            </c:strRef>
          </c:tx>
          <c:marker>
            <c:symbol val="none"/>
          </c:marker>
          <c:cat>
            <c:strRef>
              <c:f>'TAB2.0 Accomplishment Graphs'!$Q$201:$Q$220</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Graphs'!$R$201:$R$220</c:f>
              <c:numCache>
                <c:formatCode>#,##0</c:formatCode>
                <c:ptCount val="10"/>
                <c:pt idx="0">
                  <c:v>242632</c:v>
                </c:pt>
                <c:pt idx="1">
                  <c:v>172800</c:v>
                </c:pt>
                <c:pt idx="2">
                  <c:v>167700</c:v>
                </c:pt>
                <c:pt idx="3">
                  <c:v>175145</c:v>
                </c:pt>
                <c:pt idx="4">
                  <c:v>158766</c:v>
                </c:pt>
                <c:pt idx="5">
                  <c:v>170339.5</c:v>
                </c:pt>
                <c:pt idx="6">
                  <c:v>183041</c:v>
                </c:pt>
                <c:pt idx="7">
                  <c:v>179400</c:v>
                </c:pt>
                <c:pt idx="8">
                  <c:v>171948</c:v>
                </c:pt>
                <c:pt idx="9">
                  <c:v>176630</c:v>
                </c:pt>
              </c:numCache>
            </c:numRef>
          </c:val>
          <c:smooth val="0"/>
        </c:ser>
        <c:ser>
          <c:idx val="1"/>
          <c:order val="1"/>
          <c:tx>
            <c:strRef>
              <c:f>'TAB2.0 Accomplishment Graphs'!$S$200</c:f>
              <c:strCache>
                <c:ptCount val="1"/>
                <c:pt idx="0">
                  <c:v>TOTALSold Volume</c:v>
                </c:pt>
              </c:strCache>
            </c:strRef>
          </c:tx>
          <c:marker>
            <c:symbol val="none"/>
          </c:marker>
          <c:cat>
            <c:strRef>
              <c:f>'TAB2.0 Accomplishment Graphs'!$Q$201:$Q$220</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Graphs'!$S$201:$S$220</c:f>
              <c:numCache>
                <c:formatCode>#,##0_);[Red]\(#,##0\)</c:formatCode>
                <c:ptCount val="10"/>
                <c:pt idx="0">
                  <c:v>221222.91999999998</c:v>
                </c:pt>
                <c:pt idx="1">
                  <c:v>208531</c:v>
                </c:pt>
                <c:pt idx="2">
                  <c:v>169382</c:v>
                </c:pt>
                <c:pt idx="3">
                  <c:v>168781</c:v>
                </c:pt>
                <c:pt idx="4">
                  <c:v>164854</c:v>
                </c:pt>
                <c:pt idx="5">
                  <c:v>160016</c:v>
                </c:pt>
                <c:pt idx="6">
                  <c:v>182160</c:v>
                </c:pt>
                <c:pt idx="7">
                  <c:v>181483</c:v>
                </c:pt>
                <c:pt idx="8">
                  <c:v>163230</c:v>
                </c:pt>
                <c:pt idx="9">
                  <c:v>179598.7</c:v>
                </c:pt>
              </c:numCache>
            </c:numRef>
          </c:val>
          <c:smooth val="0"/>
        </c:ser>
        <c:ser>
          <c:idx val="2"/>
          <c:order val="2"/>
          <c:tx>
            <c:strRef>
              <c:f>'TAB2.0 Accomplishment Graphs'!$T$200</c:f>
              <c:strCache>
                <c:ptCount val="1"/>
                <c:pt idx="0">
                  <c:v>TOTAL Harvested Volume (MBF)</c:v>
                </c:pt>
              </c:strCache>
            </c:strRef>
          </c:tx>
          <c:marker>
            <c:symbol val="none"/>
          </c:marker>
          <c:cat>
            <c:strRef>
              <c:f>'TAB2.0 Accomplishment Graphs'!$Q$201:$Q$220</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Graphs'!$T$201:$T$220</c:f>
              <c:numCache>
                <c:formatCode>#,##0_);[Red]\(#,##0\)</c:formatCode>
                <c:ptCount val="10"/>
                <c:pt idx="0">
                  <c:v>224973.12999999998</c:v>
                </c:pt>
                <c:pt idx="1">
                  <c:v>197002.33000000002</c:v>
                </c:pt>
                <c:pt idx="2">
                  <c:v>194512</c:v>
                </c:pt>
                <c:pt idx="3">
                  <c:v>194477.57</c:v>
                </c:pt>
                <c:pt idx="4">
                  <c:v>216108.06</c:v>
                </c:pt>
                <c:pt idx="5">
                  <c:v>175987</c:v>
                </c:pt>
                <c:pt idx="6">
                  <c:v>153449.51999999999</c:v>
                </c:pt>
                <c:pt idx="7">
                  <c:v>187899.06</c:v>
                </c:pt>
                <c:pt idx="8">
                  <c:v>177165.62</c:v>
                </c:pt>
                <c:pt idx="9">
                  <c:v>207071.94</c:v>
                </c:pt>
              </c:numCache>
            </c:numRef>
          </c:val>
          <c:smooth val="0"/>
        </c:ser>
        <c:dLbls>
          <c:showLegendKey val="0"/>
          <c:showVal val="0"/>
          <c:showCatName val="0"/>
          <c:showSerName val="0"/>
          <c:showPercent val="0"/>
          <c:showBubbleSize val="0"/>
        </c:dLbls>
        <c:smooth val="0"/>
        <c:axId val="472646936"/>
        <c:axId val="472647328"/>
      </c:lineChart>
      <c:catAx>
        <c:axId val="472646936"/>
        <c:scaling>
          <c:orientation val="minMax"/>
        </c:scaling>
        <c:delete val="0"/>
        <c:axPos val="b"/>
        <c:numFmt formatCode="General" sourceLinked="1"/>
        <c:majorTickMark val="out"/>
        <c:minorTickMark val="none"/>
        <c:tickLblPos val="nextTo"/>
        <c:crossAx val="472647328"/>
        <c:crosses val="autoZero"/>
        <c:auto val="1"/>
        <c:lblAlgn val="ctr"/>
        <c:lblOffset val="100"/>
        <c:noMultiLvlLbl val="0"/>
      </c:catAx>
      <c:valAx>
        <c:axId val="472647328"/>
        <c:scaling>
          <c:orientation val="minMax"/>
          <c:min val="140000"/>
        </c:scaling>
        <c:delete val="0"/>
        <c:axPos val="l"/>
        <c:majorGridlines>
          <c:spPr>
            <a:ln>
              <a:solidFill>
                <a:schemeClr val="accent1"/>
              </a:solidFill>
            </a:ln>
          </c:spPr>
        </c:majorGridlines>
        <c:numFmt formatCode="#,##0" sourceLinked="1"/>
        <c:majorTickMark val="out"/>
        <c:minorTickMark val="none"/>
        <c:tickLblPos val="nextTo"/>
        <c:crossAx val="472646936"/>
        <c:crosses val="autoZero"/>
        <c:crossBetween val="between"/>
      </c:valAx>
    </c:plotArea>
    <c:legend>
      <c:legendPos val="r"/>
      <c:layout>
        <c:manualLayout>
          <c:xMode val="edge"/>
          <c:yMode val="edge"/>
          <c:x val="0.72895489796976731"/>
          <c:y val="2.2222271954683064E-2"/>
          <c:w val="0.25531922822291342"/>
          <c:h val="0.18666708441933771"/>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FMP Districts (AT, FG, TL, WO, NC, WL)</a:t>
            </a:r>
          </a:p>
        </c:rich>
      </c:tx>
      <c:layout>
        <c:manualLayout>
          <c:xMode val="edge"/>
          <c:yMode val="edge"/>
          <c:x val="0.15265125715214758"/>
          <c:y val="4.4657124508861987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Graphs'!$R$222</c:f>
              <c:strCache>
                <c:ptCount val="1"/>
                <c:pt idx="0">
                  <c:v>TOTAL AOP Planned Volume</c:v>
                </c:pt>
              </c:strCache>
            </c:strRef>
          </c:tx>
          <c:marker>
            <c:symbol val="none"/>
          </c:marker>
          <c:cat>
            <c:strRef>
              <c:f>'TAB2.0 Accomplishment Graphs'!$Q$223:$Q$242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Graphs'!$R$223:$R$242</c:f>
              <c:numCache>
                <c:formatCode>#,##0</c:formatCode>
                <c:ptCount val="10"/>
                <c:pt idx="0">
                  <c:v>286312</c:v>
                </c:pt>
                <c:pt idx="1">
                  <c:v>205870</c:v>
                </c:pt>
                <c:pt idx="2">
                  <c:v>201700</c:v>
                </c:pt>
                <c:pt idx="3">
                  <c:v>210533</c:v>
                </c:pt>
                <c:pt idx="4">
                  <c:v>192001</c:v>
                </c:pt>
                <c:pt idx="5">
                  <c:v>201839.5</c:v>
                </c:pt>
                <c:pt idx="6">
                  <c:v>209841</c:v>
                </c:pt>
                <c:pt idx="7">
                  <c:v>207776</c:v>
                </c:pt>
                <c:pt idx="8">
                  <c:v>220461</c:v>
                </c:pt>
                <c:pt idx="9">
                  <c:v>215330</c:v>
                </c:pt>
              </c:numCache>
            </c:numRef>
          </c:val>
          <c:smooth val="0"/>
        </c:ser>
        <c:ser>
          <c:idx val="1"/>
          <c:order val="1"/>
          <c:tx>
            <c:strRef>
              <c:f>'TAB2.0 Accomplishment Graphs'!$S$222</c:f>
              <c:strCache>
                <c:ptCount val="1"/>
                <c:pt idx="0">
                  <c:v>TOTALSold Volume</c:v>
                </c:pt>
              </c:strCache>
            </c:strRef>
          </c:tx>
          <c:marker>
            <c:symbol val="none"/>
          </c:marker>
          <c:cat>
            <c:strRef>
              <c:f>'TAB2.0 Accomplishment Graphs'!$Q$223:$Q$242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Graphs'!$S$223:$S$242</c:f>
              <c:numCache>
                <c:formatCode>#,##0_);[Red]\(#,##0\)</c:formatCode>
                <c:ptCount val="10"/>
                <c:pt idx="0">
                  <c:v>267926.92</c:v>
                </c:pt>
                <c:pt idx="1">
                  <c:v>247287</c:v>
                </c:pt>
                <c:pt idx="2">
                  <c:v>206698</c:v>
                </c:pt>
                <c:pt idx="3">
                  <c:v>208052</c:v>
                </c:pt>
                <c:pt idx="4">
                  <c:v>200303</c:v>
                </c:pt>
                <c:pt idx="5">
                  <c:v>191819</c:v>
                </c:pt>
                <c:pt idx="6">
                  <c:v>210608</c:v>
                </c:pt>
                <c:pt idx="7">
                  <c:v>217021.98</c:v>
                </c:pt>
                <c:pt idx="8">
                  <c:v>199802</c:v>
                </c:pt>
                <c:pt idx="9">
                  <c:v>219675.7</c:v>
                </c:pt>
              </c:numCache>
            </c:numRef>
          </c:val>
          <c:smooth val="0"/>
        </c:ser>
        <c:ser>
          <c:idx val="2"/>
          <c:order val="2"/>
          <c:tx>
            <c:strRef>
              <c:f>'TAB2.0 Accomplishment Graphs'!$T$222</c:f>
              <c:strCache>
                <c:ptCount val="1"/>
                <c:pt idx="0">
                  <c:v>TOTAL Harvested Volume (MBF)</c:v>
                </c:pt>
              </c:strCache>
            </c:strRef>
          </c:tx>
          <c:marker>
            <c:symbol val="none"/>
          </c:marker>
          <c:cat>
            <c:strRef>
              <c:f>'TAB2.0 Accomplishment Graphs'!$Q$223:$Q$242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Graphs'!$T$223:$T$242</c:f>
              <c:numCache>
                <c:formatCode>#,##0_);[Red]\(#,##0\)</c:formatCode>
                <c:ptCount val="10"/>
                <c:pt idx="0">
                  <c:v>272490.2</c:v>
                </c:pt>
                <c:pt idx="1">
                  <c:v>237500.45</c:v>
                </c:pt>
                <c:pt idx="2">
                  <c:v>230897</c:v>
                </c:pt>
                <c:pt idx="3">
                  <c:v>233170.19</c:v>
                </c:pt>
                <c:pt idx="4">
                  <c:v>261320.74</c:v>
                </c:pt>
                <c:pt idx="5">
                  <c:v>221282</c:v>
                </c:pt>
                <c:pt idx="6">
                  <c:v>216315.52000000002</c:v>
                </c:pt>
                <c:pt idx="7">
                  <c:v>219601.12</c:v>
                </c:pt>
                <c:pt idx="8">
                  <c:v>214812.94999999998</c:v>
                </c:pt>
                <c:pt idx="9">
                  <c:v>246800.58999999997</c:v>
                </c:pt>
              </c:numCache>
            </c:numRef>
          </c:val>
          <c:smooth val="0"/>
        </c:ser>
        <c:dLbls>
          <c:showLegendKey val="0"/>
          <c:showVal val="0"/>
          <c:showCatName val="0"/>
          <c:showSerName val="0"/>
          <c:showPercent val="0"/>
          <c:showBubbleSize val="0"/>
        </c:dLbls>
        <c:smooth val="0"/>
        <c:axId val="472648112"/>
        <c:axId val="472648504"/>
      </c:lineChart>
      <c:catAx>
        <c:axId val="472648112"/>
        <c:scaling>
          <c:orientation val="minMax"/>
        </c:scaling>
        <c:delete val="0"/>
        <c:axPos val="b"/>
        <c:numFmt formatCode="General" sourceLinked="1"/>
        <c:majorTickMark val="out"/>
        <c:minorTickMark val="none"/>
        <c:tickLblPos val="nextTo"/>
        <c:crossAx val="472648504"/>
        <c:crosses val="autoZero"/>
        <c:auto val="1"/>
        <c:lblAlgn val="ctr"/>
        <c:lblOffset val="100"/>
        <c:noMultiLvlLbl val="0"/>
      </c:catAx>
      <c:valAx>
        <c:axId val="472648504"/>
        <c:scaling>
          <c:orientation val="minMax"/>
          <c:min val="180000"/>
        </c:scaling>
        <c:delete val="0"/>
        <c:axPos val="l"/>
        <c:majorGridlines>
          <c:spPr>
            <a:ln>
              <a:solidFill>
                <a:schemeClr val="accent1"/>
              </a:solidFill>
            </a:ln>
          </c:spPr>
        </c:majorGridlines>
        <c:numFmt formatCode="#,##0" sourceLinked="1"/>
        <c:majorTickMark val="out"/>
        <c:minorTickMark val="none"/>
        <c:tickLblPos val="nextTo"/>
        <c:crossAx val="472648112"/>
        <c:crosses val="autoZero"/>
        <c:crossBetween val="between"/>
      </c:valAx>
    </c:plotArea>
    <c:legend>
      <c:legendPos val="r"/>
      <c:layout>
        <c:manualLayout>
          <c:xMode val="edge"/>
          <c:yMode val="edge"/>
          <c:x val="0.69761303404457353"/>
          <c:y val="3.2661660999399968E-2"/>
          <c:w val="0.25603006150065399"/>
          <c:h val="0.19026611618715089"/>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SOA DISTRICTS</a:t>
            </a:r>
          </a:p>
        </c:rich>
      </c:tx>
      <c:layout>
        <c:manualLayout>
          <c:xMode val="edge"/>
          <c:yMode val="edge"/>
          <c:x val="7.3802442651324934E-2"/>
          <c:y val="2.761333810546409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Graphs'!$R$244</c:f>
              <c:strCache>
                <c:ptCount val="1"/>
                <c:pt idx="0">
                  <c:v>TOTAL AOP Planned Volume</c:v>
                </c:pt>
              </c:strCache>
            </c:strRef>
          </c:tx>
          <c:marker>
            <c:symbol val="none"/>
          </c:marker>
          <c:cat>
            <c:strRef>
              <c:extLst>
                <c:ext xmlns:c15="http://schemas.microsoft.com/office/drawing/2012/chart" uri="{02D57815-91ED-43cb-92C2-25804820EDAC}">
                  <c15:fullRef>
                    <c15:sqref>'TAB2.0 Accomplishment Graphs'!$Q$245:$Q$264</c15:sqref>
                  </c15:fullRef>
                </c:ext>
              </c:extLst>
              <c:f>('TAB2.0 Accomplishment Graphs'!$Q$245:$Q$251,'TAB2.0 Accomplishment Graphs'!$Q$254:$Q$264)</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Graphs'!$R$245:$R$264</c15:sqref>
                  </c15:fullRef>
                </c:ext>
              </c:extLst>
              <c:f>('TAB2.0 Accomplishment Graphs'!$R$245:$R$251,'TAB2.0 Accomplishment Graphs'!$R$254:$R$264)</c:f>
              <c:numCache>
                <c:formatCode>#,##0</c:formatCode>
                <c:ptCount val="10"/>
                <c:pt idx="0">
                  <c:v>28843</c:v>
                </c:pt>
                <c:pt idx="1">
                  <c:v>24385</c:v>
                </c:pt>
                <c:pt idx="2">
                  <c:v>23200</c:v>
                </c:pt>
                <c:pt idx="3">
                  <c:v>31310.75</c:v>
                </c:pt>
                <c:pt idx="4">
                  <c:v>28320</c:v>
                </c:pt>
                <c:pt idx="5">
                  <c:v>29199</c:v>
                </c:pt>
                <c:pt idx="6">
                  <c:v>2000</c:v>
                </c:pt>
                <c:pt idx="7">
                  <c:v>16082</c:v>
                </c:pt>
                <c:pt idx="8">
                  <c:v>12030</c:v>
                </c:pt>
                <c:pt idx="9">
                  <c:v>14662</c:v>
                </c:pt>
              </c:numCache>
            </c:numRef>
          </c:val>
          <c:smooth val="0"/>
        </c:ser>
        <c:ser>
          <c:idx val="1"/>
          <c:order val="1"/>
          <c:tx>
            <c:strRef>
              <c:f>'TAB2.0 Accomplishment Graphs'!$S$244</c:f>
              <c:strCache>
                <c:ptCount val="1"/>
                <c:pt idx="0">
                  <c:v>TOTALSold Volume</c:v>
                </c:pt>
              </c:strCache>
            </c:strRef>
          </c:tx>
          <c:marker>
            <c:symbol val="none"/>
          </c:marker>
          <c:cat>
            <c:strRef>
              <c:extLst>
                <c:ext xmlns:c15="http://schemas.microsoft.com/office/drawing/2012/chart" uri="{02D57815-91ED-43cb-92C2-25804820EDAC}">
                  <c15:fullRef>
                    <c15:sqref>'TAB2.0 Accomplishment Graphs'!$Q$245:$Q$264</c15:sqref>
                  </c15:fullRef>
                </c:ext>
              </c:extLst>
              <c:f>('TAB2.0 Accomplishment Graphs'!$Q$245:$Q$251,'TAB2.0 Accomplishment Graphs'!$Q$254:$Q$264)</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Graphs'!$S$245:$S$264</c15:sqref>
                  </c15:fullRef>
                </c:ext>
              </c:extLst>
              <c:f>('TAB2.0 Accomplishment Graphs'!$S$245:$S$251,'TAB2.0 Accomplishment Graphs'!$S$254:$S$264)</c:f>
              <c:numCache>
                <c:formatCode>#,##0_);[Red]\(#,##0\)</c:formatCode>
                <c:ptCount val="10"/>
                <c:pt idx="0">
                  <c:v>32584</c:v>
                </c:pt>
                <c:pt idx="1">
                  <c:v>11290</c:v>
                </c:pt>
                <c:pt idx="2">
                  <c:v>30613</c:v>
                </c:pt>
                <c:pt idx="3">
                  <c:v>35564.092499999999</c:v>
                </c:pt>
                <c:pt idx="4">
                  <c:v>25081</c:v>
                </c:pt>
                <c:pt idx="5">
                  <c:v>24771</c:v>
                </c:pt>
                <c:pt idx="6">
                  <c:v>1458</c:v>
                </c:pt>
                <c:pt idx="7">
                  <c:v>13607</c:v>
                </c:pt>
                <c:pt idx="8">
                  <c:v>8639</c:v>
                </c:pt>
                <c:pt idx="9">
                  <c:v>3408</c:v>
                </c:pt>
              </c:numCache>
            </c:numRef>
          </c:val>
          <c:smooth val="0"/>
        </c:ser>
        <c:ser>
          <c:idx val="2"/>
          <c:order val="2"/>
          <c:tx>
            <c:strRef>
              <c:f>'TAB2.0 Accomplishment Graphs'!$T$244</c:f>
              <c:strCache>
                <c:ptCount val="1"/>
                <c:pt idx="0">
                  <c:v>TOTAL Harvested Volume (MBF)</c:v>
                </c:pt>
              </c:strCache>
            </c:strRef>
          </c:tx>
          <c:marker>
            <c:symbol val="none"/>
          </c:marker>
          <c:cat>
            <c:strRef>
              <c:extLst>
                <c:ext xmlns:c15="http://schemas.microsoft.com/office/drawing/2012/chart" uri="{02D57815-91ED-43cb-92C2-25804820EDAC}">
                  <c15:fullRef>
                    <c15:sqref>'TAB2.0 Accomplishment Graphs'!$Q$245:$Q$264</c15:sqref>
                  </c15:fullRef>
                </c:ext>
              </c:extLst>
              <c:f>('TAB2.0 Accomplishment Graphs'!$Q$245:$Q$251,'TAB2.0 Accomplishment Graphs'!$Q$254:$Q$264)</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Graphs'!$T$245:$T$264</c15:sqref>
                  </c15:fullRef>
                </c:ext>
              </c:extLst>
              <c:f>('TAB2.0 Accomplishment Graphs'!$T$245:$T$251,'TAB2.0 Accomplishment Graphs'!$T$254:$T$264)</c:f>
              <c:numCache>
                <c:formatCode>#,##0_);[Red]\(#,##0\)</c:formatCode>
                <c:ptCount val="10"/>
                <c:pt idx="0">
                  <c:v>14030.33</c:v>
                </c:pt>
                <c:pt idx="1">
                  <c:v>25255.74</c:v>
                </c:pt>
                <c:pt idx="2">
                  <c:v>20708</c:v>
                </c:pt>
                <c:pt idx="3">
                  <c:v>23701.26</c:v>
                </c:pt>
                <c:pt idx="4">
                  <c:v>19469</c:v>
                </c:pt>
                <c:pt idx="5">
                  <c:v>31794</c:v>
                </c:pt>
                <c:pt idx="6">
                  <c:v>32620.58</c:v>
                </c:pt>
                <c:pt idx="7">
                  <c:v>8316.2999999999993</c:v>
                </c:pt>
                <c:pt idx="8">
                  <c:v>8248.7000000000007</c:v>
                </c:pt>
                <c:pt idx="9">
                  <c:v>9886.09</c:v>
                </c:pt>
              </c:numCache>
            </c:numRef>
          </c:val>
          <c:smooth val="0"/>
        </c:ser>
        <c:dLbls>
          <c:showLegendKey val="0"/>
          <c:showVal val="0"/>
          <c:showCatName val="0"/>
          <c:showSerName val="0"/>
          <c:showPercent val="0"/>
          <c:showBubbleSize val="0"/>
        </c:dLbls>
        <c:smooth val="0"/>
        <c:axId val="472649288"/>
        <c:axId val="472649680"/>
      </c:lineChart>
      <c:catAx>
        <c:axId val="472649288"/>
        <c:scaling>
          <c:orientation val="minMax"/>
        </c:scaling>
        <c:delete val="0"/>
        <c:axPos val="b"/>
        <c:numFmt formatCode="General" sourceLinked="1"/>
        <c:majorTickMark val="out"/>
        <c:minorTickMark val="none"/>
        <c:tickLblPos val="nextTo"/>
        <c:crossAx val="472649680"/>
        <c:crosses val="autoZero"/>
        <c:auto val="1"/>
        <c:lblAlgn val="ctr"/>
        <c:lblOffset val="100"/>
        <c:noMultiLvlLbl val="0"/>
      </c:catAx>
      <c:valAx>
        <c:axId val="472649680"/>
        <c:scaling>
          <c:orientation val="minMax"/>
          <c:min val="500"/>
        </c:scaling>
        <c:delete val="0"/>
        <c:axPos val="l"/>
        <c:majorGridlines>
          <c:spPr>
            <a:ln>
              <a:solidFill>
                <a:schemeClr val="accent1"/>
              </a:solidFill>
            </a:ln>
          </c:spPr>
        </c:majorGridlines>
        <c:numFmt formatCode="#,##0" sourceLinked="1"/>
        <c:majorTickMark val="out"/>
        <c:minorTickMark val="none"/>
        <c:tickLblPos val="nextTo"/>
        <c:crossAx val="472649288"/>
        <c:crosses val="autoZero"/>
        <c:crossBetween val="between"/>
      </c:valAx>
    </c:plotArea>
    <c:legend>
      <c:legendPos val="r"/>
      <c:layout>
        <c:manualLayout>
          <c:xMode val="edge"/>
          <c:yMode val="edge"/>
          <c:x val="0.72727379788591584"/>
          <c:y val="1.4862001531451716E-2"/>
          <c:w val="0.25603006150065399"/>
          <c:h val="0.18895973375702896"/>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en-US" sz="1725" b="1" i="0" u="none" strike="noStrike" baseline="0">
                <a:solidFill>
                  <a:srgbClr val="000000"/>
                </a:solidFill>
                <a:latin typeface="Comic Sans MS"/>
              </a:rPr>
              <a:t>Historical ODF Timber Sale Volume Removed</a:t>
            </a:r>
          </a:p>
          <a:p>
            <a:pPr>
              <a:defRPr sz="950" b="0" i="0" u="none" strike="noStrike" baseline="0">
                <a:solidFill>
                  <a:srgbClr val="000000"/>
                </a:solidFill>
                <a:latin typeface="Arial"/>
                <a:ea typeface="Arial"/>
                <a:cs typeface="Arial"/>
              </a:defRPr>
            </a:pPr>
            <a:r>
              <a:rPr lang="en-US" sz="1125" b="1" i="0" u="none" strike="noStrike" baseline="0">
                <a:solidFill>
                  <a:srgbClr val="000000"/>
                </a:solidFill>
                <a:latin typeface="Comic Sans MS"/>
              </a:rPr>
              <a:t>Timber Harvested from Board of Forestry (Blue)  and Common School Lands (Red)</a:t>
            </a:r>
            <a:endParaRPr lang="en-US" sz="1725" b="1" i="0" u="none" strike="noStrike" baseline="0">
              <a:solidFill>
                <a:srgbClr val="000000"/>
              </a:solidFill>
              <a:latin typeface="Comic Sans MS"/>
            </a:endParaRPr>
          </a:p>
          <a:p>
            <a:pPr>
              <a:defRPr sz="950" b="0" i="0" u="none" strike="noStrike" baseline="0">
                <a:solidFill>
                  <a:srgbClr val="000000"/>
                </a:solidFill>
                <a:latin typeface="Arial"/>
                <a:ea typeface="Arial"/>
                <a:cs typeface="Arial"/>
              </a:defRPr>
            </a:pPr>
            <a:endParaRPr lang="en-US" sz="1725" b="1" i="0" u="none" strike="noStrike" baseline="0">
              <a:solidFill>
                <a:srgbClr val="000000"/>
              </a:solidFill>
              <a:latin typeface="Comic Sans MS"/>
            </a:endParaRPr>
          </a:p>
        </c:rich>
      </c:tx>
      <c:layout>
        <c:manualLayout>
          <c:xMode val="edge"/>
          <c:yMode val="edge"/>
          <c:x val="0.21309653942787776"/>
          <c:y val="2.0373477905425756E-2"/>
        </c:manualLayout>
      </c:layout>
      <c:overlay val="0"/>
      <c:spPr>
        <a:noFill/>
        <a:ln w="25400">
          <a:noFill/>
        </a:ln>
      </c:spPr>
    </c:title>
    <c:autoTitleDeleted val="0"/>
    <c:view3D>
      <c:rotX val="15"/>
      <c:hPercent val="53"/>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000000"/>
            </a:gs>
            <a:gs pos="100000">
              <a:srgbClr val="C0C0C0"/>
            </a:gs>
          </a:gsLst>
          <a:lin ang="18900000" scaled="1"/>
        </a:gradFill>
        <a:ln w="12700">
          <a:solidFill>
            <a:srgbClr val="808080"/>
          </a:solidFill>
          <a:prstDash val="solid"/>
        </a:ln>
      </c:spPr>
    </c:sideWall>
    <c:backWall>
      <c:thickness val="0"/>
      <c:spPr>
        <a:gradFill rotWithShape="0">
          <a:gsLst>
            <a:gs pos="0">
              <a:srgbClr val="000000"/>
            </a:gs>
            <a:gs pos="100000">
              <a:srgbClr val="C0C0C0"/>
            </a:gs>
          </a:gsLst>
          <a:lin ang="18900000" scaled="1"/>
        </a:gradFill>
        <a:ln w="12700">
          <a:solidFill>
            <a:srgbClr val="808080"/>
          </a:solidFill>
          <a:prstDash val="solid"/>
        </a:ln>
      </c:spPr>
    </c:backWall>
    <c:plotArea>
      <c:layout>
        <c:manualLayout>
          <c:layoutTarget val="inner"/>
          <c:xMode val="edge"/>
          <c:yMode val="edge"/>
          <c:x val="4.4395116537180909E-2"/>
          <c:y val="0.16808149405772496"/>
          <c:w val="0.90011098779134291"/>
          <c:h val="0.68930390492359928"/>
        </c:manualLayout>
      </c:layout>
      <c:bar3DChart>
        <c:barDir val="col"/>
        <c:grouping val="stacked"/>
        <c:varyColors val="0"/>
        <c:ser>
          <c:idx val="0"/>
          <c:order val="0"/>
          <c:tx>
            <c:v>BOF</c:v>
          </c:tx>
          <c:spPr>
            <a:solidFill>
              <a:srgbClr val="9999FF"/>
            </a:solidFill>
            <a:ln w="12700">
              <a:solidFill>
                <a:srgbClr val="000000"/>
              </a:solidFill>
              <a:prstDash val="solid"/>
            </a:ln>
          </c:spPr>
          <c:invertIfNegative val="0"/>
          <c:cat>
            <c:numRef>
              <c:f>'1.1_Annual Harv by FUND'!$A$3:$A$34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'1.1_Annual Harv by FUND'!$B$12:$B$34</c:f>
              <c:numCache>
                <c:formatCode>#,##0</c:formatCode>
                <c:ptCount val="23"/>
                <c:pt idx="0">
                  <c:v>73204.600000000006</c:v>
                </c:pt>
                <c:pt idx="1">
                  <c:v>86879.43</c:v>
                </c:pt>
                <c:pt idx="2">
                  <c:v>94089.19</c:v>
                </c:pt>
                <c:pt idx="3">
                  <c:v>90813.68</c:v>
                </c:pt>
                <c:pt idx="4">
                  <c:v>137815.36000000002</c:v>
                </c:pt>
                <c:pt idx="5">
                  <c:v>105413.66000000002</c:v>
                </c:pt>
                <c:pt idx="6">
                  <c:v>170075.56</c:v>
                </c:pt>
                <c:pt idx="7">
                  <c:v>215074.47</c:v>
                </c:pt>
                <c:pt idx="8">
                  <c:v>193068.64</c:v>
                </c:pt>
                <c:pt idx="9">
                  <c:v>228326.62999999998</c:v>
                </c:pt>
                <c:pt idx="10">
                  <c:v>253532.05</c:v>
                </c:pt>
                <c:pt idx="11">
                  <c:v>239385.74000000002</c:v>
                </c:pt>
                <c:pt idx="12">
                  <c:v>281604.98</c:v>
                </c:pt>
                <c:pt idx="13">
                  <c:v>276908.34000000003</c:v>
                </c:pt>
                <c:pt idx="14">
                  <c:v>244397.83</c:v>
                </c:pt>
                <c:pt idx="15">
                  <c:v>236578.22999999998</c:v>
                </c:pt>
                <c:pt idx="16">
                  <c:v>236913.74000000002</c:v>
                </c:pt>
                <c:pt idx="17">
                  <c:v>268142.3</c:v>
                </c:pt>
                <c:pt idx="18">
                  <c:v>239559.56</c:v>
                </c:pt>
                <c:pt idx="19">
                  <c:v>230691.46999999997</c:v>
                </c:pt>
                <c:pt idx="20">
                  <c:v>229487.77</c:v>
                </c:pt>
                <c:pt idx="21">
                  <c:v>220858.9</c:v>
                </c:pt>
                <c:pt idx="22">
                  <c:v>258901.53</c:v>
                </c:pt>
              </c:numCache>
            </c:numRef>
          </c:val>
        </c:ser>
        <c:ser>
          <c:idx val="1"/>
          <c:order val="1"/>
          <c:tx>
            <c:v>CSL</c:v>
          </c:tx>
          <c:invertIfNegative val="0"/>
          <c:cat>
            <c:numRef>
              <c:f>'1.1_Annual Harv by FUND'!$A$3:$A$34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'1.1_Annual Harv by FUND'!$E$12:$E$34</c:f>
              <c:numCache>
                <c:formatCode>#,##0</c:formatCode>
                <c:ptCount val="23"/>
                <c:pt idx="0">
                  <c:v>23489.15</c:v>
                </c:pt>
                <c:pt idx="1">
                  <c:v>27270.240000000002</c:v>
                </c:pt>
                <c:pt idx="2">
                  <c:v>22247.050000000003</c:v>
                </c:pt>
                <c:pt idx="3">
                  <c:v>19224.809999999998</c:v>
                </c:pt>
                <c:pt idx="4">
                  <c:v>24976.219999999998</c:v>
                </c:pt>
                <c:pt idx="5">
                  <c:v>22055.360000000001</c:v>
                </c:pt>
                <c:pt idx="6">
                  <c:v>38018.959999999999</c:v>
                </c:pt>
                <c:pt idx="7">
                  <c:v>49714.710000000006</c:v>
                </c:pt>
                <c:pt idx="8">
                  <c:v>35626.620000000003</c:v>
                </c:pt>
                <c:pt idx="9">
                  <c:v>29556.769999999997</c:v>
                </c:pt>
                <c:pt idx="10">
                  <c:v>24290.15</c:v>
                </c:pt>
                <c:pt idx="11">
                  <c:v>32423.25</c:v>
                </c:pt>
                <c:pt idx="12">
                  <c:v>42106.38</c:v>
                </c:pt>
                <c:pt idx="13">
                  <c:v>17832.86</c:v>
                </c:pt>
                <c:pt idx="14">
                  <c:v>27083.600000000002</c:v>
                </c:pt>
                <c:pt idx="15">
                  <c:v>22974.03</c:v>
                </c:pt>
                <c:pt idx="16">
                  <c:v>29287.61</c:v>
                </c:pt>
                <c:pt idx="17">
                  <c:v>24811.51</c:v>
                </c:pt>
                <c:pt idx="18">
                  <c:v>32115.85</c:v>
                </c:pt>
                <c:pt idx="19">
                  <c:v>32249.97</c:v>
                </c:pt>
                <c:pt idx="20">
                  <c:v>11076.240000000002</c:v>
                </c:pt>
                <c:pt idx="21">
                  <c:v>10963.22</c:v>
                </c:pt>
                <c:pt idx="22">
                  <c:v>15273</c:v>
                </c:pt>
              </c:numCache>
            </c:numRef>
          </c:val>
        </c:ser>
        <c:dLbls>
          <c:showLegendKey val="0"/>
          <c:showVal val="0"/>
          <c:showCatName val="0"/>
          <c:showSerName val="0"/>
          <c:showPercent val="0"/>
          <c:showBubbleSize val="0"/>
        </c:dLbls>
        <c:gapWidth val="67"/>
        <c:shape val="box"/>
        <c:axId val="470252896"/>
        <c:axId val="470253280"/>
        <c:axId val="0"/>
      </c:bar3DChart>
      <c:catAx>
        <c:axId val="47025289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50" b="0" i="0" u="none" strike="noStrike" baseline="0">
                <a:solidFill>
                  <a:srgbClr val="000000"/>
                </a:solidFill>
                <a:latin typeface="Comic Sans MS"/>
                <a:ea typeface="Comic Sans MS"/>
                <a:cs typeface="Comic Sans MS"/>
              </a:defRPr>
            </a:pPr>
            <a:endParaRPr lang="en-US"/>
          </a:p>
        </c:txPr>
        <c:crossAx val="470253280"/>
        <c:crosses val="autoZero"/>
        <c:auto val="1"/>
        <c:lblAlgn val="ctr"/>
        <c:lblOffset val="100"/>
        <c:noMultiLvlLbl val="0"/>
      </c:catAx>
      <c:valAx>
        <c:axId val="4702532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70252896"/>
        <c:crosses val="autoZero"/>
        <c:crossBetween val="between"/>
      </c:valAx>
      <c:spPr>
        <a:noFill/>
        <a:ln w="25400">
          <a:noFill/>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STATEWIDE</a:t>
            </a:r>
          </a:p>
        </c:rich>
      </c:tx>
      <c:layout>
        <c:manualLayout>
          <c:xMode val="edge"/>
          <c:yMode val="edge"/>
          <c:x val="7.3802493438320224E-2"/>
          <c:y val="2.7612986732822781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Graphs'!$R$266</c:f>
              <c:strCache>
                <c:ptCount val="1"/>
                <c:pt idx="0">
                  <c:v>TOTAL AOP Planned Volume</c:v>
                </c:pt>
              </c:strCache>
            </c:strRef>
          </c:tx>
          <c:marker>
            <c:symbol val="none"/>
          </c:marker>
          <c:cat>
            <c:strRef>
              <c:f>'TAB2.0 Accomplishment Graphs'!$Q$267:$Q$286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Graphs'!$R$267:$R$286</c:f>
              <c:numCache>
                <c:formatCode>#,##0</c:formatCode>
                <c:ptCount val="10"/>
                <c:pt idx="0">
                  <c:v>322355</c:v>
                </c:pt>
                <c:pt idx="1">
                  <c:v>236555</c:v>
                </c:pt>
                <c:pt idx="2">
                  <c:v>230900</c:v>
                </c:pt>
                <c:pt idx="3">
                  <c:v>249039.75</c:v>
                </c:pt>
                <c:pt idx="4">
                  <c:v>226621</c:v>
                </c:pt>
                <c:pt idx="5">
                  <c:v>235968.5</c:v>
                </c:pt>
                <c:pt idx="6">
                  <c:v>215441</c:v>
                </c:pt>
                <c:pt idx="7">
                  <c:v>234594</c:v>
                </c:pt>
                <c:pt idx="8">
                  <c:v>236813</c:v>
                </c:pt>
                <c:pt idx="9">
                  <c:v>237992</c:v>
                </c:pt>
              </c:numCache>
            </c:numRef>
          </c:val>
          <c:smooth val="0"/>
        </c:ser>
        <c:ser>
          <c:idx val="1"/>
          <c:order val="1"/>
          <c:tx>
            <c:strRef>
              <c:f>'TAB2.0 Accomplishment Graphs'!$S$266</c:f>
              <c:strCache>
                <c:ptCount val="1"/>
                <c:pt idx="0">
                  <c:v>TOTALSold Volume</c:v>
                </c:pt>
              </c:strCache>
            </c:strRef>
          </c:tx>
          <c:marker>
            <c:symbol val="none"/>
          </c:marker>
          <c:cat>
            <c:strRef>
              <c:f>'TAB2.0 Accomplishment Graphs'!$Q$267:$Q$286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Graphs'!$S$267:$S$286</c:f>
              <c:numCache>
                <c:formatCode>#,##0_);[Red]\(#,##0\)</c:formatCode>
                <c:ptCount val="10"/>
                <c:pt idx="0">
                  <c:v>311785.92</c:v>
                </c:pt>
                <c:pt idx="1">
                  <c:v>266538</c:v>
                </c:pt>
                <c:pt idx="2">
                  <c:v>251994</c:v>
                </c:pt>
                <c:pt idx="3">
                  <c:v>251409.0925</c:v>
                </c:pt>
                <c:pt idx="4">
                  <c:v>233250</c:v>
                </c:pt>
                <c:pt idx="5">
                  <c:v>231452</c:v>
                </c:pt>
                <c:pt idx="6">
                  <c:v>214724</c:v>
                </c:pt>
                <c:pt idx="7">
                  <c:v>241670.98</c:v>
                </c:pt>
                <c:pt idx="8">
                  <c:v>211897</c:v>
                </c:pt>
                <c:pt idx="9">
                  <c:v>228615.7</c:v>
                </c:pt>
              </c:numCache>
            </c:numRef>
          </c:val>
          <c:smooth val="0"/>
        </c:ser>
        <c:ser>
          <c:idx val="2"/>
          <c:order val="2"/>
          <c:tx>
            <c:strRef>
              <c:f>'TAB2.0 Accomplishment Graphs'!$T$266</c:f>
              <c:strCache>
                <c:ptCount val="1"/>
                <c:pt idx="0">
                  <c:v>TOTAL Harvested Volume (MBF)</c:v>
                </c:pt>
              </c:strCache>
            </c:strRef>
          </c:tx>
          <c:marker>
            <c:symbol val="none"/>
          </c:marker>
          <c:cat>
            <c:strRef>
              <c:f>'TAB2.0 Accomplishment Graphs'!$Q$267:$Q$286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Graphs'!$T$267:$T$286</c:f>
              <c:numCache>
                <c:formatCode>#,##0_);[Red]\(#,##0\)</c:formatCode>
                <c:ptCount val="10"/>
                <c:pt idx="0">
                  <c:v>294741.19999999995</c:v>
                </c:pt>
                <c:pt idx="1">
                  <c:v>271481.43000000005</c:v>
                </c:pt>
                <c:pt idx="2">
                  <c:v>259552</c:v>
                </c:pt>
                <c:pt idx="3">
                  <c:v>266201.35000000003</c:v>
                </c:pt>
                <c:pt idx="4">
                  <c:v>292953.74</c:v>
                </c:pt>
                <c:pt idx="5">
                  <c:v>271677</c:v>
                </c:pt>
                <c:pt idx="6">
                  <c:v>262941.03999999998</c:v>
                </c:pt>
                <c:pt idx="7">
                  <c:v>240564.00999999998</c:v>
                </c:pt>
                <c:pt idx="8">
                  <c:v>231821.64999999997</c:v>
                </c:pt>
                <c:pt idx="9">
                  <c:v>274174.56</c:v>
                </c:pt>
              </c:numCache>
            </c:numRef>
          </c:val>
          <c:smooth val="0"/>
        </c:ser>
        <c:dLbls>
          <c:showLegendKey val="0"/>
          <c:showVal val="0"/>
          <c:showCatName val="0"/>
          <c:showSerName val="0"/>
          <c:showPercent val="0"/>
          <c:showBubbleSize val="0"/>
        </c:dLbls>
        <c:smooth val="0"/>
        <c:axId val="472650464"/>
        <c:axId val="472650856"/>
      </c:lineChart>
      <c:catAx>
        <c:axId val="472650464"/>
        <c:scaling>
          <c:orientation val="minMax"/>
        </c:scaling>
        <c:delete val="0"/>
        <c:axPos val="b"/>
        <c:numFmt formatCode="General" sourceLinked="1"/>
        <c:majorTickMark val="out"/>
        <c:minorTickMark val="none"/>
        <c:tickLblPos val="nextTo"/>
        <c:crossAx val="472650856"/>
        <c:crosses val="autoZero"/>
        <c:auto val="1"/>
        <c:lblAlgn val="ctr"/>
        <c:lblOffset val="100"/>
        <c:noMultiLvlLbl val="0"/>
      </c:catAx>
      <c:valAx>
        <c:axId val="472650856"/>
        <c:scaling>
          <c:orientation val="minMax"/>
          <c:min val="180000"/>
        </c:scaling>
        <c:delete val="0"/>
        <c:axPos val="l"/>
        <c:majorGridlines>
          <c:spPr>
            <a:ln>
              <a:solidFill>
                <a:schemeClr val="accent1"/>
              </a:solidFill>
            </a:ln>
          </c:spPr>
        </c:majorGridlines>
        <c:numFmt formatCode="#,##0" sourceLinked="1"/>
        <c:majorTickMark val="out"/>
        <c:minorTickMark val="none"/>
        <c:tickLblPos val="nextTo"/>
        <c:crossAx val="472650464"/>
        <c:crosses val="autoZero"/>
        <c:crossBetween val="between"/>
      </c:valAx>
    </c:plotArea>
    <c:legend>
      <c:legendPos val="r"/>
      <c:layout>
        <c:manualLayout>
          <c:xMode val="edge"/>
          <c:yMode val="edge"/>
          <c:x val="0.73305216634307113"/>
          <c:y val="2.5741027369399358E-2"/>
          <c:w val="0.25441071644935215"/>
          <c:h val="0.18976613756111105"/>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[1_VolVal_Historical_Annual_MASTER.xlsx]2.1 PIVOT!PivotTable4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AOP,</a:t>
            </a:r>
            <a:r>
              <a:rPr lang="en-US" baseline="0"/>
              <a:t> SOLD and HARVEST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alpha val="37000"/>
              </a:schemeClr>
            </a:solidFill>
            <a:round/>
          </a:ln>
          <a:effectLst/>
        </c:spPr>
        <c:marker>
          <c:symbol val="circle"/>
          <c:size val="5"/>
          <c:spPr>
            <a:solidFill>
              <a:schemeClr val="accent1"/>
            </a:solidFill>
            <a:ln w="9525">
              <a:solidFill>
                <a:schemeClr val="accent1"/>
              </a:solidFill>
            </a:ln>
            <a:effectLst/>
          </c:spPr>
        </c:marker>
      </c:pivotFmt>
      <c:pivotFmt>
        <c:idx val="1"/>
        <c:spPr>
          <a:ln w="28575" cap="rnd">
            <a:solidFill>
              <a:srgbClr val="C00000">
                <a:alpha val="49000"/>
              </a:srgbClr>
            </a:solidFill>
            <a:round/>
          </a:ln>
          <a:effectLst/>
        </c:spPr>
        <c:marker>
          <c:symbol val="circle"/>
          <c:size val="5"/>
          <c:spPr>
            <a:solidFill>
              <a:schemeClr val="accent2"/>
            </a:solidFill>
            <a:ln w="9525">
              <a:solidFill>
                <a:srgbClr val="C00000">
                  <a:alpha val="50000"/>
                </a:srgbClr>
              </a:solidFill>
            </a:ln>
            <a:effectLst/>
          </c:spPr>
        </c:marker>
      </c:pivotFmt>
      <c:pivotFmt>
        <c:idx val="2"/>
        <c:spPr>
          <a:ln w="31750" cap="rnd">
            <a:solidFill>
              <a:srgbClr val="00B050"/>
            </a:solidFill>
            <a:round/>
          </a:ln>
          <a:effectLst/>
        </c:spPr>
        <c:marker>
          <c:symbol val="circle"/>
          <c:size val="5"/>
          <c:spPr>
            <a:solidFill>
              <a:schemeClr val="accent3"/>
            </a:solidFill>
            <a:ln w="9525">
              <a:solidFill>
                <a:srgbClr val="00B050"/>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'2.1 PIVOT'!$B$3</c:f>
              <c:strCache>
                <c:ptCount val="1"/>
                <c:pt idx="0">
                  <c:v>Sum of TOTAL AOP Planned Volume</c:v>
                </c:pt>
              </c:strCache>
            </c:strRef>
          </c:tx>
          <c:spPr>
            <a:ln w="28575" cap="rnd">
              <a:solidFill>
                <a:schemeClr val="accent1">
                  <a:alpha val="37000"/>
                </a:schemeClr>
              </a:solidFill>
              <a:round/>
            </a:ln>
            <a:effectLst/>
          </c:spPr>
          <c:marker>
            <c:symbol val="circle"/>
            <c:size val="5"/>
            <c:spPr>
              <a:solidFill>
                <a:schemeClr val="accent1"/>
              </a:solidFill>
              <a:ln w="9525">
                <a:solidFill>
                  <a:schemeClr val="accent1"/>
                </a:solidFill>
              </a:ln>
              <a:effectLst/>
            </c:spPr>
          </c:marker>
          <c:cat>
            <c:strRef>
              <c:f>'2.1 PIVOT'!$A$4:$A$23</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'2.1 PIVOT'!$B$4:$B$23</c:f>
              <c:numCache>
                <c:formatCode>#,##0_);[Red]\(#,##0\)</c:formatCode>
                <c:ptCount val="20"/>
                <c:pt idx="0">
                  <c:v>64921</c:v>
                </c:pt>
                <c:pt idx="1">
                  <c:v>144000</c:v>
                </c:pt>
                <c:pt idx="2">
                  <c:v>150535</c:v>
                </c:pt>
                <c:pt idx="3">
                  <c:v>145835</c:v>
                </c:pt>
                <c:pt idx="4">
                  <c:v>207715</c:v>
                </c:pt>
                <c:pt idx="5">
                  <c:v>184680</c:v>
                </c:pt>
                <c:pt idx="6">
                  <c:v>178228</c:v>
                </c:pt>
                <c:pt idx="7">
                  <c:v>195585</c:v>
                </c:pt>
                <c:pt idx="8">
                  <c:v>251977</c:v>
                </c:pt>
                <c:pt idx="9">
                  <c:v>230230</c:v>
                </c:pt>
                <c:pt idx="10">
                  <c:v>286312</c:v>
                </c:pt>
                <c:pt idx="11">
                  <c:v>205870</c:v>
                </c:pt>
                <c:pt idx="12">
                  <c:v>201700</c:v>
                </c:pt>
                <c:pt idx="13">
                  <c:v>210533</c:v>
                </c:pt>
                <c:pt idx="14">
                  <c:v>192001</c:v>
                </c:pt>
                <c:pt idx="15">
                  <c:v>201839.5</c:v>
                </c:pt>
                <c:pt idx="16">
                  <c:v>209841</c:v>
                </c:pt>
                <c:pt idx="17">
                  <c:v>207776</c:v>
                </c:pt>
                <c:pt idx="18">
                  <c:v>220461</c:v>
                </c:pt>
                <c:pt idx="19">
                  <c:v>215330</c:v>
                </c:pt>
              </c:numCache>
            </c:numRef>
          </c:val>
          <c:smooth val="0"/>
        </c:ser>
        <c:ser>
          <c:idx val="1"/>
          <c:order val="1"/>
          <c:tx>
            <c:strRef>
              <c:f>'2.1 PIVOT'!$C$3</c:f>
              <c:strCache>
                <c:ptCount val="1"/>
                <c:pt idx="0">
                  <c:v>Sum of TOTALSold Volume</c:v>
                </c:pt>
              </c:strCache>
            </c:strRef>
          </c:tx>
          <c:spPr>
            <a:ln w="28575" cap="rnd">
              <a:solidFill>
                <a:srgbClr val="C00000">
                  <a:alpha val="49000"/>
                </a:srgbClr>
              </a:solidFill>
              <a:round/>
            </a:ln>
            <a:effectLst/>
          </c:spPr>
          <c:marker>
            <c:symbol val="circle"/>
            <c:size val="5"/>
            <c:spPr>
              <a:solidFill>
                <a:schemeClr val="accent2"/>
              </a:solidFill>
              <a:ln w="9525">
                <a:solidFill>
                  <a:srgbClr val="C00000">
                    <a:alpha val="50000"/>
                  </a:srgbClr>
                </a:solidFill>
              </a:ln>
              <a:effectLst/>
            </c:spPr>
          </c:marker>
          <c:cat>
            <c:strRef>
              <c:f>'2.1 PIVOT'!$A$4:$A$23</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'2.1 PIVOT'!$C$4:$C$23</c:f>
              <c:numCache>
                <c:formatCode>#,##0</c:formatCode>
                <c:ptCount val="20"/>
                <c:pt idx="0">
                  <c:v>111887.25</c:v>
                </c:pt>
                <c:pt idx="1">
                  <c:v>177019</c:v>
                </c:pt>
                <c:pt idx="2">
                  <c:v>96634.65</c:v>
                </c:pt>
                <c:pt idx="3">
                  <c:v>188336.8</c:v>
                </c:pt>
                <c:pt idx="4">
                  <c:v>190779.7</c:v>
                </c:pt>
                <c:pt idx="5">
                  <c:v>176235</c:v>
                </c:pt>
                <c:pt idx="6">
                  <c:v>199059</c:v>
                </c:pt>
                <c:pt idx="7">
                  <c:v>228202</c:v>
                </c:pt>
                <c:pt idx="8">
                  <c:v>268458</c:v>
                </c:pt>
                <c:pt idx="9">
                  <c:v>213209</c:v>
                </c:pt>
                <c:pt idx="10">
                  <c:v>267926.92</c:v>
                </c:pt>
                <c:pt idx="11">
                  <c:v>247287</c:v>
                </c:pt>
                <c:pt idx="12">
                  <c:v>206698</c:v>
                </c:pt>
                <c:pt idx="13">
                  <c:v>208052</c:v>
                </c:pt>
                <c:pt idx="14">
                  <c:v>200303</c:v>
                </c:pt>
                <c:pt idx="15">
                  <c:v>191819</c:v>
                </c:pt>
                <c:pt idx="16">
                  <c:v>210608</c:v>
                </c:pt>
                <c:pt idx="17">
                  <c:v>217021.98</c:v>
                </c:pt>
                <c:pt idx="18">
                  <c:v>199802</c:v>
                </c:pt>
                <c:pt idx="19">
                  <c:v>219675.7</c:v>
                </c:pt>
              </c:numCache>
            </c:numRef>
          </c:val>
          <c:smooth val="0"/>
        </c:ser>
        <c:ser>
          <c:idx val="2"/>
          <c:order val="2"/>
          <c:tx>
            <c:strRef>
              <c:f>'2.1 PIVOT'!$D$3</c:f>
              <c:strCache>
                <c:ptCount val="1"/>
                <c:pt idx="0">
                  <c:v>Sum of TOTAL Harvested Volume (MBF)</c:v>
                </c:pt>
              </c:strCache>
            </c:strRef>
          </c:tx>
          <c:spPr>
            <a:ln w="31750" cap="rnd">
              <a:solidFill>
                <a:srgbClr val="00B050"/>
              </a:solidFill>
              <a:round/>
            </a:ln>
            <a:effectLst/>
          </c:spPr>
          <c:marker>
            <c:symbol val="circle"/>
            <c:size val="5"/>
            <c:spPr>
              <a:solidFill>
                <a:schemeClr val="accent3"/>
              </a:solidFill>
              <a:ln w="9525">
                <a:solidFill>
                  <a:srgbClr val="00B050"/>
                </a:solidFill>
              </a:ln>
              <a:effectLst/>
            </c:spPr>
          </c:marker>
          <c:cat>
            <c:strRef>
              <c:f>'2.1 PIVOT'!$A$4:$A$23</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'2.1 PIVOT'!$D$4:$D$23</c:f>
              <c:numCache>
                <c:formatCode>#,##0_);[Red]\(#,##0\)</c:formatCode>
                <c:ptCount val="20"/>
                <c:pt idx="0">
                  <c:v>86637.670000000013</c:v>
                </c:pt>
                <c:pt idx="1">
                  <c:v>141326.09</c:v>
                </c:pt>
                <c:pt idx="2">
                  <c:v>102194.84</c:v>
                </c:pt>
                <c:pt idx="3">
                  <c:v>161798.23000000001</c:v>
                </c:pt>
                <c:pt idx="4">
                  <c:v>205724.79999999999</c:v>
                </c:pt>
                <c:pt idx="5">
                  <c:v>173889.65000000002</c:v>
                </c:pt>
                <c:pt idx="6">
                  <c:v>214472.49999999997</c:v>
                </c:pt>
                <c:pt idx="7">
                  <c:v>254218.66999999998</c:v>
                </c:pt>
                <c:pt idx="8">
                  <c:v>239491.30000000002</c:v>
                </c:pt>
                <c:pt idx="9">
                  <c:v>267243.32999999996</c:v>
                </c:pt>
                <c:pt idx="10">
                  <c:v>272490.2</c:v>
                </c:pt>
                <c:pt idx="11">
                  <c:v>237500.45</c:v>
                </c:pt>
                <c:pt idx="12">
                  <c:v>230897</c:v>
                </c:pt>
                <c:pt idx="13">
                  <c:v>233170.19</c:v>
                </c:pt>
                <c:pt idx="14">
                  <c:v>261320.74</c:v>
                </c:pt>
                <c:pt idx="15">
                  <c:v>221282</c:v>
                </c:pt>
                <c:pt idx="16">
                  <c:v>216315.52000000002</c:v>
                </c:pt>
                <c:pt idx="17">
                  <c:v>219601.12</c:v>
                </c:pt>
                <c:pt idx="18">
                  <c:v>214812.94999999998</c:v>
                </c:pt>
                <c:pt idx="19">
                  <c:v>246800.58999999997</c:v>
                </c:pt>
              </c:numCache>
            </c:numRef>
          </c:val>
          <c:smooth val="0"/>
        </c:ser>
        <c:dLbls>
          <c:showLegendKey val="0"/>
          <c:showVal val="0"/>
          <c:showCatName val="0"/>
          <c:showSerName val="0"/>
          <c:showPercent val="0"/>
          <c:showBubbleSize val="0"/>
        </c:dLbls>
        <c:marker val="1"/>
        <c:smooth val="0"/>
        <c:axId val="472651640"/>
        <c:axId val="472652032"/>
      </c:lineChart>
      <c:catAx>
        <c:axId val="47265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652032"/>
        <c:crosses val="autoZero"/>
        <c:auto val="1"/>
        <c:lblAlgn val="ctr"/>
        <c:lblOffset val="100"/>
        <c:noMultiLvlLbl val="0"/>
      </c:catAx>
      <c:valAx>
        <c:axId val="47265203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65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800" b="1" i="1" baseline="0">
                <a:effectLst/>
              </a:rPr>
              <a:t>Statewide BOF VOLUME</a:t>
            </a:r>
            <a:endParaRPr lang="en-US" sz="2800" b="1">
              <a:effectLst/>
            </a:endParaRPr>
          </a:p>
        </c:rich>
      </c:tx>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6569174668855"/>
          <c:y val="0.11487813691286983"/>
          <c:w val="0.83221149310504472"/>
          <c:h val="0.74171773995248647"/>
        </c:manualLayout>
      </c:layout>
      <c:lineChart>
        <c:grouping val="standard"/>
        <c:varyColors val="0"/>
        <c:ser>
          <c:idx val="0"/>
          <c:order val="0"/>
          <c:tx>
            <c:strRef>
              <c:f>'TAB2.0 Accomplishment Graphs'!$E$266</c:f>
              <c:strCache>
                <c:ptCount val="1"/>
                <c:pt idx="0">
                  <c:v>BOF AOP Planned Volume</c:v>
                </c:pt>
              </c:strCache>
            </c:strRef>
          </c:tx>
          <c:spPr>
            <a:ln w="28575" cap="rnd">
              <a:solidFill>
                <a:schemeClr val="accent1"/>
              </a:solidFill>
              <a:round/>
            </a:ln>
            <a:effectLst/>
          </c:spPr>
          <c:marker>
            <c:symbol val="diamond"/>
            <c:size val="12"/>
            <c:spPr>
              <a:solidFill>
                <a:srgbClr val="0070C0"/>
              </a:solidFill>
              <a:ln w="44450">
                <a:solidFill>
                  <a:srgbClr val="0070C0"/>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Graphs'!$E$267:$E$287</c15:sqref>
                  </c15:fullRef>
                </c:ext>
              </c:extLst>
              <c:f>'TAB2.0 Accomplishment Graphs'!$E$267:$E$286</c:f>
              <c:numCache>
                <c:formatCode>#,##0_);[Red]\(#,##0\)</c:formatCode>
                <c:ptCount val="10"/>
                <c:pt idx="0">
                  <c:v>289795.7</c:v>
                </c:pt>
                <c:pt idx="1">
                  <c:v>214277.36</c:v>
                </c:pt>
                <c:pt idx="2">
                  <c:v>206838</c:v>
                </c:pt>
                <c:pt idx="3">
                  <c:v>212238.75</c:v>
                </c:pt>
                <c:pt idx="4">
                  <c:v>194961.1</c:v>
                </c:pt>
                <c:pt idx="5">
                  <c:v>209239</c:v>
                </c:pt>
                <c:pt idx="6">
                  <c:v>212191</c:v>
                </c:pt>
                <c:pt idx="7">
                  <c:v>223297</c:v>
                </c:pt>
                <c:pt idx="8">
                  <c:v>211748.1</c:v>
                </c:pt>
                <c:pt idx="9">
                  <c:v>220596</c:v>
                </c:pt>
              </c:numCache>
            </c:numRef>
          </c:val>
          <c:smooth val="0"/>
        </c:ser>
        <c:ser>
          <c:idx val="1"/>
          <c:order val="1"/>
          <c:tx>
            <c:strRef>
              <c:f>'TAB2.0 Accomplishment Graphs'!$H$266</c:f>
              <c:strCache>
                <c:ptCount val="1"/>
                <c:pt idx="0">
                  <c:v>BOF Sold Volume</c:v>
                </c:pt>
              </c:strCache>
            </c:strRef>
          </c:tx>
          <c:spPr>
            <a:ln w="28575" cap="rnd">
              <a:solidFill>
                <a:schemeClr val="accent2"/>
              </a:solidFill>
              <a:round/>
            </a:ln>
            <a:effectLst/>
          </c:spPr>
          <c:marker>
            <c:symbol val="square"/>
            <c:size val="9"/>
            <c:spPr>
              <a:solidFill>
                <a:schemeClr val="accent2"/>
              </a:solidFill>
              <a:ln w="44450">
                <a:solidFill>
                  <a:schemeClr val="accent2"/>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Graphs'!$H$267:$H$287</c15:sqref>
                  </c15:fullRef>
                </c:ext>
              </c:extLst>
              <c:f>'TAB2.0 Accomplishment Graphs'!$H$267:$H$286</c:f>
              <c:numCache>
                <c:formatCode>#,##0_);[Red]\(#,##0\)</c:formatCode>
                <c:ptCount val="10"/>
                <c:pt idx="0">
                  <c:v>277048.49</c:v>
                </c:pt>
                <c:pt idx="1">
                  <c:v>249511</c:v>
                </c:pt>
                <c:pt idx="2">
                  <c:v>220020</c:v>
                </c:pt>
                <c:pt idx="3">
                  <c:v>210322.45250000001</c:v>
                </c:pt>
                <c:pt idx="4">
                  <c:v>204932.31999999998</c:v>
                </c:pt>
                <c:pt idx="5">
                  <c:v>210565</c:v>
                </c:pt>
                <c:pt idx="6">
                  <c:v>211943.7</c:v>
                </c:pt>
                <c:pt idx="7">
                  <c:v>225951.87</c:v>
                </c:pt>
                <c:pt idx="8">
                  <c:v>201812.16899999999</c:v>
                </c:pt>
                <c:pt idx="9">
                  <c:v>218529.86599999998</c:v>
                </c:pt>
              </c:numCache>
            </c:numRef>
          </c:val>
          <c:smooth val="0"/>
        </c:ser>
        <c:ser>
          <c:idx val="2"/>
          <c:order val="2"/>
          <c:tx>
            <c:strRef>
              <c:f>'TAB2.0 Accomplishment Graphs'!$K$266</c:f>
              <c:strCache>
                <c:ptCount val="1"/>
                <c:pt idx="0">
                  <c:v>BOF Harvested Vol.</c:v>
                </c:pt>
              </c:strCache>
            </c:strRef>
          </c:tx>
          <c:spPr>
            <a:ln w="44450" cap="rnd">
              <a:solidFill>
                <a:srgbClr val="00B050">
                  <a:alpha val="90000"/>
                </a:srgbClr>
              </a:solidFill>
              <a:round/>
            </a:ln>
            <a:effectLst/>
          </c:spPr>
          <c:marker>
            <c:symbol val="triangle"/>
            <c:size val="12"/>
            <c:spPr>
              <a:solidFill>
                <a:srgbClr val="00B050"/>
              </a:solidFill>
              <a:ln w="9525">
                <a:solidFill>
                  <a:srgbClr val="00B050"/>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Graphs'!$K$267:$K$287</c15:sqref>
                  </c15:fullRef>
                </c:ext>
              </c:extLst>
              <c:f>'TAB2.0 Accomplishment Graphs'!$K$267:$K$286</c:f>
              <c:numCache>
                <c:formatCode>#,##0_);[Red]\(#,##0\)</c:formatCode>
                <c:ptCount val="10"/>
                <c:pt idx="0">
                  <c:v>276908.34000000003</c:v>
                </c:pt>
                <c:pt idx="1">
                  <c:v>244397.83</c:v>
                </c:pt>
                <c:pt idx="2">
                  <c:v>236579</c:v>
                </c:pt>
                <c:pt idx="3">
                  <c:v>236913.74000000002</c:v>
                </c:pt>
                <c:pt idx="4">
                  <c:v>268141.68</c:v>
                </c:pt>
                <c:pt idx="5">
                  <c:v>239561</c:v>
                </c:pt>
                <c:pt idx="6">
                  <c:v>229907.00000000003</c:v>
                </c:pt>
                <c:pt idx="7">
                  <c:v>229487.77000000002</c:v>
                </c:pt>
                <c:pt idx="8">
                  <c:v>220858.43</c:v>
                </c:pt>
                <c:pt idx="9">
                  <c:v>258901.51</c:v>
                </c:pt>
              </c:numCache>
            </c:numRef>
          </c:val>
          <c:smooth val="0"/>
        </c:ser>
        <c:dLbls>
          <c:showLegendKey val="0"/>
          <c:showVal val="0"/>
          <c:showCatName val="0"/>
          <c:showSerName val="0"/>
          <c:showPercent val="0"/>
          <c:showBubbleSize val="0"/>
        </c:dLbls>
        <c:marker val="1"/>
        <c:smooth val="0"/>
        <c:axId val="472652816"/>
        <c:axId val="472050568"/>
      </c:lineChart>
      <c:catAx>
        <c:axId val="47265281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Fiscal Year</a:t>
                </a:r>
              </a:p>
            </c:rich>
          </c:tx>
          <c:layout>
            <c:manualLayout>
              <c:xMode val="edge"/>
              <c:yMode val="edge"/>
              <c:x val="0.49294121042787542"/>
              <c:y val="0.9412427874653319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cross"/>
        <c:minorTickMark val="none"/>
        <c:tickLblPos val="nextTo"/>
        <c:spPr>
          <a:noFill/>
          <a:ln w="25400" cap="flat" cmpd="sng" algn="ctr">
            <a:solidFill>
              <a:schemeClr val="tx1"/>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2050568"/>
        <c:crosses val="autoZero"/>
        <c:auto val="0"/>
        <c:lblAlgn val="ctr"/>
        <c:lblOffset val="100"/>
        <c:tickLblSkip val="1"/>
        <c:noMultiLvlLbl val="0"/>
      </c:catAx>
      <c:valAx>
        <c:axId val="472050568"/>
        <c:scaling>
          <c:orientation val="minMax"/>
          <c:max val="30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MBF</a:t>
                </a:r>
              </a:p>
            </c:rich>
          </c:tx>
          <c:layout>
            <c:manualLayout>
              <c:xMode val="edge"/>
              <c:yMode val="edge"/>
              <c:x val="1.3462488743159305E-2"/>
              <c:y val="0.4413341196722879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2652816"/>
        <c:crosses val="autoZero"/>
        <c:crossBetween val="between"/>
      </c:valAx>
      <c:spPr>
        <a:noFill/>
        <a:ln w="22225" cap="rnd">
          <a:solidFill>
            <a:schemeClr val="tx1"/>
          </a:solidFill>
        </a:ln>
        <a:effectLst/>
      </c:spPr>
    </c:plotArea>
    <c:legend>
      <c:legendPos val="b"/>
      <c:layout>
        <c:manualLayout>
          <c:xMode val="edge"/>
          <c:yMode val="edge"/>
          <c:x val="0.1652212113515136"/>
          <c:y val="0.15371353884408173"/>
          <c:w val="0.27523332202082051"/>
          <c:h val="0.15163543480888539"/>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800" b="1" i="1" baseline="0">
                <a:effectLst/>
              </a:rPr>
              <a:t>Statewide CSL Volume</a:t>
            </a:r>
            <a:endParaRPr lang="en-US" sz="2800" b="1">
              <a:effectLst/>
            </a:endParaRPr>
          </a:p>
        </c:rich>
      </c:tx>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91944390011717"/>
          <c:y val="0.11487813691286983"/>
          <c:w val="0.84994896667181286"/>
          <c:h val="0.75994434109481435"/>
        </c:manualLayout>
      </c:layout>
      <c:lineChart>
        <c:grouping val="standard"/>
        <c:varyColors val="0"/>
        <c:ser>
          <c:idx val="0"/>
          <c:order val="0"/>
          <c:tx>
            <c:strRef>
              <c:f>'TAB2.0 Accomplishment Graphs'!$F$266</c:f>
              <c:strCache>
                <c:ptCount val="1"/>
                <c:pt idx="0">
                  <c:v>CSL AOP Planned Volume</c:v>
                </c:pt>
              </c:strCache>
            </c:strRef>
          </c:tx>
          <c:spPr>
            <a:ln w="44450" cap="rnd">
              <a:solidFill>
                <a:srgbClr val="0070C0"/>
              </a:solidFill>
              <a:round/>
            </a:ln>
            <a:effectLst/>
          </c:spPr>
          <c:marker>
            <c:symbol val="diamond"/>
            <c:size val="11"/>
            <c:spPr>
              <a:solidFill>
                <a:srgbClr val="0070C0"/>
              </a:solidFill>
              <a:ln w="9525">
                <a:solidFill>
                  <a:schemeClr val="accent1"/>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Graphs'!$F$267:$F$287</c15:sqref>
                  </c15:fullRef>
                </c:ext>
              </c:extLst>
              <c:f>'TAB2.0 Accomplishment Graphs'!$F$267:$F$286</c:f>
              <c:numCache>
                <c:formatCode>#,##0_);[Red]\(#,##0\)</c:formatCode>
                <c:ptCount val="10"/>
                <c:pt idx="0">
                  <c:v>32559.3</c:v>
                </c:pt>
                <c:pt idx="1">
                  <c:v>22277.64</c:v>
                </c:pt>
                <c:pt idx="2">
                  <c:v>24062</c:v>
                </c:pt>
                <c:pt idx="3">
                  <c:v>36801</c:v>
                </c:pt>
                <c:pt idx="4">
                  <c:v>31659.9</c:v>
                </c:pt>
                <c:pt idx="5">
                  <c:v>26729.5</c:v>
                </c:pt>
                <c:pt idx="6">
                  <c:v>3250</c:v>
                </c:pt>
                <c:pt idx="7">
                  <c:v>16597</c:v>
                </c:pt>
                <c:pt idx="8">
                  <c:v>13758.9</c:v>
                </c:pt>
                <c:pt idx="9">
                  <c:v>17396</c:v>
                </c:pt>
              </c:numCache>
            </c:numRef>
          </c:val>
          <c:smooth val="0"/>
        </c:ser>
        <c:ser>
          <c:idx val="1"/>
          <c:order val="1"/>
          <c:tx>
            <c:strRef>
              <c:f>'TAB2.0 Accomplishment Graphs'!$I$266</c:f>
              <c:strCache>
                <c:ptCount val="1"/>
                <c:pt idx="0">
                  <c:v>CSL Sold Volume</c:v>
                </c:pt>
              </c:strCache>
            </c:strRef>
          </c:tx>
          <c:spPr>
            <a:ln w="44450" cap="rnd">
              <a:solidFill>
                <a:schemeClr val="accent2"/>
              </a:solidFill>
              <a:round/>
            </a:ln>
            <a:effectLst/>
          </c:spPr>
          <c:marker>
            <c:symbol val="square"/>
            <c:size val="10"/>
            <c:spPr>
              <a:solidFill>
                <a:schemeClr val="accent2"/>
              </a:solidFill>
              <a:ln w="9525">
                <a:solidFill>
                  <a:schemeClr val="accent2"/>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Graphs'!$I$267:$I$287</c15:sqref>
                  </c15:fullRef>
                </c:ext>
              </c:extLst>
              <c:f>'TAB2.0 Accomplishment Graphs'!$I$267:$I$286</c:f>
              <c:numCache>
                <c:formatCode>#,##0_);[Red]\(#,##0\)</c:formatCode>
                <c:ptCount val="10"/>
                <c:pt idx="0">
                  <c:v>34737.43</c:v>
                </c:pt>
                <c:pt idx="1">
                  <c:v>17027</c:v>
                </c:pt>
                <c:pt idx="2">
                  <c:v>31974</c:v>
                </c:pt>
                <c:pt idx="3">
                  <c:v>41086.639999999999</c:v>
                </c:pt>
                <c:pt idx="4">
                  <c:v>28317.679999999997</c:v>
                </c:pt>
                <c:pt idx="5">
                  <c:v>20887</c:v>
                </c:pt>
                <c:pt idx="6">
                  <c:v>2780.3</c:v>
                </c:pt>
                <c:pt idx="7">
                  <c:v>15719.11</c:v>
                </c:pt>
                <c:pt idx="8">
                  <c:v>10084.831</c:v>
                </c:pt>
                <c:pt idx="9">
                  <c:v>10085.833999999999</c:v>
                </c:pt>
              </c:numCache>
            </c:numRef>
          </c:val>
          <c:smooth val="0"/>
        </c:ser>
        <c:ser>
          <c:idx val="2"/>
          <c:order val="2"/>
          <c:tx>
            <c:strRef>
              <c:f>'TAB2.0 Accomplishment Graphs'!$L$266</c:f>
              <c:strCache>
                <c:ptCount val="1"/>
                <c:pt idx="0">
                  <c:v>CSL Harvested Vol.</c:v>
                </c:pt>
              </c:strCache>
            </c:strRef>
          </c:tx>
          <c:spPr>
            <a:ln w="44450" cap="rnd">
              <a:solidFill>
                <a:srgbClr val="00B050"/>
              </a:solidFill>
              <a:round/>
            </a:ln>
            <a:effectLst/>
          </c:spPr>
          <c:marker>
            <c:symbol val="triangle"/>
            <c:size val="10"/>
            <c:spPr>
              <a:solidFill>
                <a:srgbClr val="00B050"/>
              </a:solidFill>
              <a:ln w="44450">
                <a:solidFill>
                  <a:srgbClr val="00B050"/>
                </a:solidFill>
              </a:ln>
              <a:effectLst/>
            </c:spPr>
          </c:marker>
          <c:cat>
            <c:strRef>
              <c:extLst>
                <c:ext xmlns:c15="http://schemas.microsoft.com/office/drawing/2012/chart" uri="{02D57815-91ED-43cb-92C2-25804820EDAC}">
                  <c15:fullRef>
                    <c15:sqref>'TAB2.0 Accomplishment Graphs'!$C$267:$C$287</c15:sqref>
                  </c15:fullRef>
                </c:ext>
              </c:extLst>
              <c:f>'TAB2.0 Accomplishment Graphs'!$C$267:$C$286</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extLst>
                <c:ext xmlns:c15="http://schemas.microsoft.com/office/drawing/2012/chart" uri="{02D57815-91ED-43cb-92C2-25804820EDAC}">
                  <c15:fullRef>
                    <c15:sqref>'TAB2.0 Accomplishment Graphs'!$L$267:$L$287</c15:sqref>
                  </c15:fullRef>
                </c:ext>
              </c:extLst>
              <c:f>'TAB2.0 Accomplishment Graphs'!$L$267:$L$286</c:f>
              <c:numCache>
                <c:formatCode>#,##0_);[Red]\(#,##0\)</c:formatCode>
                <c:ptCount val="10"/>
                <c:pt idx="0">
                  <c:v>17832.86</c:v>
                </c:pt>
                <c:pt idx="1">
                  <c:v>27083.600000000002</c:v>
                </c:pt>
                <c:pt idx="2">
                  <c:v>22973</c:v>
                </c:pt>
                <c:pt idx="3">
                  <c:v>29287.61</c:v>
                </c:pt>
                <c:pt idx="4">
                  <c:v>24812.059999999998</c:v>
                </c:pt>
                <c:pt idx="5">
                  <c:v>32116</c:v>
                </c:pt>
                <c:pt idx="6">
                  <c:v>33034.04</c:v>
                </c:pt>
                <c:pt idx="7">
                  <c:v>11076.239999999998</c:v>
                </c:pt>
                <c:pt idx="8">
                  <c:v>10963.22</c:v>
                </c:pt>
                <c:pt idx="9">
                  <c:v>15273.05</c:v>
                </c:pt>
              </c:numCache>
            </c:numRef>
          </c:val>
          <c:smooth val="0"/>
        </c:ser>
        <c:dLbls>
          <c:showLegendKey val="0"/>
          <c:showVal val="0"/>
          <c:showCatName val="0"/>
          <c:showSerName val="0"/>
          <c:showPercent val="0"/>
          <c:showBubbleSize val="0"/>
        </c:dLbls>
        <c:marker val="1"/>
        <c:smooth val="0"/>
        <c:axId val="472051352"/>
        <c:axId val="472051744"/>
      </c:lineChart>
      <c:catAx>
        <c:axId val="47205135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1">
                    <a:solidFill>
                      <a:sysClr val="windowText" lastClr="000000"/>
                    </a:solidFill>
                  </a:rPr>
                  <a:t>Fiscal Year</a:t>
                </a:r>
              </a:p>
            </c:rich>
          </c:tx>
          <c:layout>
            <c:manualLayout>
              <c:xMode val="edge"/>
              <c:yMode val="edge"/>
              <c:x val="0.46616043595723555"/>
              <c:y val="0.95678153591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cross"/>
        <c:tickLblPos val="nextTo"/>
        <c:spPr>
          <a:noFill/>
          <a:ln w="9525" cap="flat" cmpd="sng" algn="ctr">
            <a:solidFill>
              <a:schemeClr val="tx1"/>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2051744"/>
        <c:crosses val="autoZero"/>
        <c:auto val="1"/>
        <c:lblAlgn val="ctr"/>
        <c:lblOffset val="100"/>
        <c:noMultiLvlLbl val="0"/>
      </c:catAx>
      <c:valAx>
        <c:axId val="472051744"/>
        <c:scaling>
          <c:orientation val="minMax"/>
          <c:max val="5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solidFill>
                      <a:sysClr val="windowText" lastClr="000000"/>
                    </a:solidFill>
                  </a:rPr>
                  <a:t>MBF</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2051352"/>
        <c:crosses val="autoZero"/>
        <c:crossBetween val="between"/>
      </c:valAx>
      <c:spPr>
        <a:noFill/>
        <a:ln w="19050">
          <a:solidFill>
            <a:schemeClr val="tx1"/>
          </a:solidFill>
        </a:ln>
        <a:effectLst/>
      </c:spPr>
    </c:plotArea>
    <c:legend>
      <c:legendPos val="b"/>
      <c:layout>
        <c:manualLayout>
          <c:xMode val="edge"/>
          <c:yMode val="edge"/>
          <c:x val="0.6500840538083017"/>
          <c:y val="0.12563719679937374"/>
          <c:w val="0.34844117691549925"/>
          <c:h val="0.1618501451271189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NWOA Counties:</a:t>
            </a:r>
            <a:r>
              <a:rPr lang="en-US" baseline="0"/>
              <a:t>  Clatsop, Columbia, Tillamook and Washington Harvest Volume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'TAB3.0 VOL Historical by County'!$F$6</c:f>
              <c:strCache>
                <c:ptCount val="1"/>
                <c:pt idx="0">
                  <c:v>CLATSOP</c:v>
                </c:pt>
              </c:strCache>
            </c:strRef>
          </c:tx>
          <c:spPr>
            <a:solidFill>
              <a:schemeClr val="accent1"/>
            </a:solidFill>
            <a:ln>
              <a:noFill/>
            </a:ln>
            <a:effectLst/>
          </c:spPr>
          <c:cat>
            <c:numRef>
              <c:extLst>
                <c:ext xmlns:c15="http://schemas.microsoft.com/office/drawing/2012/chart" uri="{02D57815-91ED-43cb-92C2-25804820EDAC}">
                  <c15:fullRef>
                    <c15:sqref>'TAB3.0 VOL Historical by County'!$G$2:$BU$2</c15:sqref>
                  </c15:fullRef>
                </c:ext>
              </c:extLst>
              <c:f>'TAB3.0 VOL Historical by County'!$R$2:$BU$2</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xmlns:c15="http://schemas.microsoft.com/office/drawing/2012/chart" uri="{02D57815-91ED-43cb-92C2-25804820EDAC}">
                  <c15:fullRef>
                    <c15:sqref>'TAB3.0 VOL Historical by County'!$G$6:$BU$6</c15:sqref>
                  </c15:fullRef>
                </c:ext>
              </c:extLst>
              <c:f>'TAB3.0 VOL Historical by County'!$R$6:$BU$6</c:f>
              <c:numCache>
                <c:formatCode>#,##0</c:formatCode>
                <c:ptCount val="56"/>
                <c:pt idx="0">
                  <c:v>40648</c:v>
                </c:pt>
                <c:pt idx="1">
                  <c:v>44874</c:v>
                </c:pt>
                <c:pt idx="2">
                  <c:v>25217</c:v>
                </c:pt>
                <c:pt idx="3">
                  <c:v>39753</c:v>
                </c:pt>
                <c:pt idx="4">
                  <c:v>34948</c:v>
                </c:pt>
                <c:pt idx="5">
                  <c:v>31430</c:v>
                </c:pt>
                <c:pt idx="6">
                  <c:v>25399</c:v>
                </c:pt>
                <c:pt idx="7">
                  <c:v>25277</c:v>
                </c:pt>
                <c:pt idx="8">
                  <c:v>44579.02</c:v>
                </c:pt>
                <c:pt idx="9">
                  <c:v>32439.55</c:v>
                </c:pt>
                <c:pt idx="10">
                  <c:v>24278.36</c:v>
                </c:pt>
                <c:pt idx="11">
                  <c:v>19443.59</c:v>
                </c:pt>
                <c:pt idx="12">
                  <c:v>54310</c:v>
                </c:pt>
                <c:pt idx="13">
                  <c:v>62988</c:v>
                </c:pt>
                <c:pt idx="14">
                  <c:v>30488</c:v>
                </c:pt>
                <c:pt idx="15">
                  <c:v>27667.67</c:v>
                </c:pt>
                <c:pt idx="16">
                  <c:v>69292.25</c:v>
                </c:pt>
                <c:pt idx="17">
                  <c:v>46125.15</c:v>
                </c:pt>
                <c:pt idx="18">
                  <c:v>55370.27</c:v>
                </c:pt>
                <c:pt idx="19">
                  <c:v>72413.48</c:v>
                </c:pt>
                <c:pt idx="20">
                  <c:v>60582.9</c:v>
                </c:pt>
                <c:pt idx="21">
                  <c:v>71440.36</c:v>
                </c:pt>
                <c:pt idx="22">
                  <c:v>57767.21</c:v>
                </c:pt>
                <c:pt idx="23">
                  <c:v>75769.952000000005</c:v>
                </c:pt>
                <c:pt idx="24">
                  <c:v>97982</c:v>
                </c:pt>
                <c:pt idx="25">
                  <c:v>84438</c:v>
                </c:pt>
                <c:pt idx="26">
                  <c:v>45498</c:v>
                </c:pt>
                <c:pt idx="27">
                  <c:v>45094</c:v>
                </c:pt>
                <c:pt idx="28">
                  <c:v>90369</c:v>
                </c:pt>
                <c:pt idx="29">
                  <c:v>37010</c:v>
                </c:pt>
                <c:pt idx="30">
                  <c:v>16070</c:v>
                </c:pt>
                <c:pt idx="31">
                  <c:v>24641</c:v>
                </c:pt>
                <c:pt idx="32">
                  <c:v>27468</c:v>
                </c:pt>
                <c:pt idx="33">
                  <c:v>27527</c:v>
                </c:pt>
                <c:pt idx="34">
                  <c:v>41247</c:v>
                </c:pt>
                <c:pt idx="35">
                  <c:v>40021</c:v>
                </c:pt>
                <c:pt idx="36">
                  <c:v>32635</c:v>
                </c:pt>
                <c:pt idx="37">
                  <c:v>56150.16</c:v>
                </c:pt>
                <c:pt idx="38">
                  <c:v>29699</c:v>
                </c:pt>
                <c:pt idx="39">
                  <c:v>39585</c:v>
                </c:pt>
                <c:pt idx="40">
                  <c:v>69200</c:v>
                </c:pt>
                <c:pt idx="41">
                  <c:v>71601.61</c:v>
                </c:pt>
                <c:pt idx="42">
                  <c:v>73061</c:v>
                </c:pt>
                <c:pt idx="43">
                  <c:v>132773.69</c:v>
                </c:pt>
                <c:pt idx="44">
                  <c:v>85613.1</c:v>
                </c:pt>
                <c:pt idx="45">
                  <c:v>94989.25</c:v>
                </c:pt>
                <c:pt idx="46">
                  <c:v>91426.5</c:v>
                </c:pt>
                <c:pt idx="47">
                  <c:v>77779.41</c:v>
                </c:pt>
                <c:pt idx="48">
                  <c:v>89887.73</c:v>
                </c:pt>
                <c:pt idx="49">
                  <c:v>106402</c:v>
                </c:pt>
                <c:pt idx="50">
                  <c:v>83426.640000000014</c:v>
                </c:pt>
                <c:pt idx="51">
                  <c:v>60661</c:v>
                </c:pt>
                <c:pt idx="52">
                  <c:v>60774.02</c:v>
                </c:pt>
                <c:pt idx="53">
                  <c:v>79259.97</c:v>
                </c:pt>
                <c:pt idx="54">
                  <c:v>54713.88</c:v>
                </c:pt>
                <c:pt idx="55">
                  <c:v>80369.509999999995</c:v>
                </c:pt>
              </c:numCache>
            </c:numRef>
          </c:val>
        </c:ser>
        <c:ser>
          <c:idx val="1"/>
          <c:order val="1"/>
          <c:tx>
            <c:strRef>
              <c:f>'TAB3.0 VOL Historical by County'!$F$7</c:f>
              <c:strCache>
                <c:ptCount val="1"/>
                <c:pt idx="0">
                  <c:v>COLUMBIA</c:v>
                </c:pt>
              </c:strCache>
            </c:strRef>
          </c:tx>
          <c:spPr>
            <a:solidFill>
              <a:schemeClr val="accent2"/>
            </a:solidFill>
            <a:ln>
              <a:noFill/>
            </a:ln>
            <a:effectLst/>
          </c:spPr>
          <c:cat>
            <c:numRef>
              <c:extLst>
                <c:ext xmlns:c15="http://schemas.microsoft.com/office/drawing/2012/chart" uri="{02D57815-91ED-43cb-92C2-25804820EDAC}">
                  <c15:fullRef>
                    <c15:sqref>'TAB3.0 VOL Historical by County'!$G$2:$BU$2</c15:sqref>
                  </c15:fullRef>
                </c:ext>
              </c:extLst>
              <c:f>'TAB3.0 VOL Historical by County'!$R$2:$BU$2</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xmlns:c15="http://schemas.microsoft.com/office/drawing/2012/chart" uri="{02D57815-91ED-43cb-92C2-25804820EDAC}">
                  <c15:fullRef>
                    <c15:sqref>'TAB3.0 VOL Historical by County'!$G$7:$BU$7</c15:sqref>
                  </c15:fullRef>
                </c:ext>
              </c:extLst>
              <c:f>'TAB3.0 VOL Historical by County'!$R$7:$BU$7</c:f>
              <c:numCache>
                <c:formatCode>#,##0</c:formatCode>
                <c:ptCount val="56"/>
                <c:pt idx="0">
                  <c:v>62</c:v>
                </c:pt>
                <c:pt idx="1">
                  <c:v>974</c:v>
                </c:pt>
                <c:pt idx="2">
                  <c:v>673</c:v>
                </c:pt>
                <c:pt idx="3">
                  <c:v>1184</c:v>
                </c:pt>
                <c:pt idx="4">
                  <c:v>1786</c:v>
                </c:pt>
                <c:pt idx="5">
                  <c:v>2547</c:v>
                </c:pt>
                <c:pt idx="6">
                  <c:v>2562</c:v>
                </c:pt>
                <c:pt idx="7">
                  <c:v>1179</c:v>
                </c:pt>
                <c:pt idx="8">
                  <c:v>1598.33</c:v>
                </c:pt>
                <c:pt idx="9">
                  <c:v>210.41</c:v>
                </c:pt>
                <c:pt idx="10">
                  <c:v>678.53</c:v>
                </c:pt>
                <c:pt idx="11">
                  <c:v>475.87</c:v>
                </c:pt>
                <c:pt idx="12">
                  <c:v>3181</c:v>
                </c:pt>
                <c:pt idx="13">
                  <c:v>7801</c:v>
                </c:pt>
                <c:pt idx="14">
                  <c:v>1228</c:v>
                </c:pt>
                <c:pt idx="15">
                  <c:v>1101.4000000000001</c:v>
                </c:pt>
                <c:pt idx="16">
                  <c:v>2880.48</c:v>
                </c:pt>
                <c:pt idx="17">
                  <c:v>1309.0899999999999</c:v>
                </c:pt>
                <c:pt idx="18">
                  <c:v>3960.06</c:v>
                </c:pt>
                <c:pt idx="19">
                  <c:v>5087.83</c:v>
                </c:pt>
                <c:pt idx="20">
                  <c:v>2277.52</c:v>
                </c:pt>
                <c:pt idx="21">
                  <c:v>2576.58</c:v>
                </c:pt>
                <c:pt idx="22">
                  <c:v>4158.4799999999996</c:v>
                </c:pt>
                <c:pt idx="23">
                  <c:v>5768.1509999999998</c:v>
                </c:pt>
                <c:pt idx="24">
                  <c:v>3833</c:v>
                </c:pt>
                <c:pt idx="25">
                  <c:v>5091</c:v>
                </c:pt>
                <c:pt idx="26">
                  <c:v>8860</c:v>
                </c:pt>
                <c:pt idx="27">
                  <c:v>5156</c:v>
                </c:pt>
                <c:pt idx="28">
                  <c:v>6699</c:v>
                </c:pt>
                <c:pt idx="29">
                  <c:v>4588</c:v>
                </c:pt>
                <c:pt idx="30">
                  <c:v>5398</c:v>
                </c:pt>
                <c:pt idx="32">
                  <c:v>3191</c:v>
                </c:pt>
                <c:pt idx="33">
                  <c:v>5137</c:v>
                </c:pt>
                <c:pt idx="34">
                  <c:v>3200</c:v>
                </c:pt>
                <c:pt idx="35">
                  <c:v>2422</c:v>
                </c:pt>
                <c:pt idx="36">
                  <c:v>4327</c:v>
                </c:pt>
                <c:pt idx="37">
                  <c:v>5392.78</c:v>
                </c:pt>
                <c:pt idx="39">
                  <c:v>1559</c:v>
                </c:pt>
                <c:pt idx="40">
                  <c:v>3052</c:v>
                </c:pt>
                <c:pt idx="41">
                  <c:v>1063.94</c:v>
                </c:pt>
                <c:pt idx="42">
                  <c:v>6486</c:v>
                </c:pt>
                <c:pt idx="43">
                  <c:v>2977.94</c:v>
                </c:pt>
                <c:pt idx="44">
                  <c:v>2888.52</c:v>
                </c:pt>
                <c:pt idx="45">
                  <c:v>3606.72</c:v>
                </c:pt>
                <c:pt idx="46">
                  <c:v>3414.73</c:v>
                </c:pt>
                <c:pt idx="47">
                  <c:v>3345.77</c:v>
                </c:pt>
                <c:pt idx="48">
                  <c:v>6846.46</c:v>
                </c:pt>
                <c:pt idx="49">
                  <c:v>1002</c:v>
                </c:pt>
                <c:pt idx="50">
                  <c:v>7981.84</c:v>
                </c:pt>
                <c:pt idx="51">
                  <c:v>-13</c:v>
                </c:pt>
                <c:pt idx="52">
                  <c:v>0</c:v>
                </c:pt>
                <c:pt idx="53">
                  <c:v>1732.02</c:v>
                </c:pt>
                <c:pt idx="54">
                  <c:v>558.02</c:v>
                </c:pt>
              </c:numCache>
            </c:numRef>
          </c:val>
        </c:ser>
        <c:ser>
          <c:idx val="2"/>
          <c:order val="2"/>
          <c:tx>
            <c:strRef>
              <c:f>'TAB3.0 VOL Historical by County'!$F$28</c:f>
              <c:strCache>
                <c:ptCount val="1"/>
                <c:pt idx="0">
                  <c:v>TILLAMOOK</c:v>
                </c:pt>
              </c:strCache>
            </c:strRef>
          </c:tx>
          <c:spPr>
            <a:solidFill>
              <a:schemeClr val="accent3"/>
            </a:solidFill>
            <a:ln>
              <a:noFill/>
            </a:ln>
            <a:effectLst/>
          </c:spPr>
          <c:cat>
            <c:numRef>
              <c:extLst>
                <c:ext xmlns:c15="http://schemas.microsoft.com/office/drawing/2012/chart" uri="{02D57815-91ED-43cb-92C2-25804820EDAC}">
                  <c15:fullRef>
                    <c15:sqref>'TAB3.0 VOL Historical by County'!$G$2:$BU$2</c15:sqref>
                  </c15:fullRef>
                </c:ext>
              </c:extLst>
              <c:f>'TAB3.0 VOL Historical by County'!$R$2:$BU$2</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xmlns:c15="http://schemas.microsoft.com/office/drawing/2012/chart" uri="{02D57815-91ED-43cb-92C2-25804820EDAC}">
                  <c15:fullRef>
                    <c15:sqref>'TAB3.0 VOL Historical by County'!$G$28:$BU$28</c15:sqref>
                  </c15:fullRef>
                </c:ext>
              </c:extLst>
              <c:f>'TAB3.0 VOL Historical by County'!$R$28:$BU$28</c:f>
              <c:numCache>
                <c:formatCode>#,##0</c:formatCode>
                <c:ptCount val="56"/>
                <c:pt idx="0">
                  <c:v>73053</c:v>
                </c:pt>
                <c:pt idx="1">
                  <c:v>55903</c:v>
                </c:pt>
                <c:pt idx="2">
                  <c:v>51474</c:v>
                </c:pt>
                <c:pt idx="3">
                  <c:v>63603</c:v>
                </c:pt>
                <c:pt idx="4">
                  <c:v>61008</c:v>
                </c:pt>
                <c:pt idx="5">
                  <c:v>38594</c:v>
                </c:pt>
                <c:pt idx="6">
                  <c:v>32399</c:v>
                </c:pt>
                <c:pt idx="7">
                  <c:v>33182</c:v>
                </c:pt>
                <c:pt idx="8">
                  <c:v>49745.279999999999</c:v>
                </c:pt>
                <c:pt idx="9">
                  <c:v>43504.87</c:v>
                </c:pt>
                <c:pt idx="10">
                  <c:v>29570.38</c:v>
                </c:pt>
                <c:pt idx="11">
                  <c:v>28260.04</c:v>
                </c:pt>
                <c:pt idx="12">
                  <c:v>36095</c:v>
                </c:pt>
                <c:pt idx="13">
                  <c:v>58362</c:v>
                </c:pt>
                <c:pt idx="14">
                  <c:v>31876</c:v>
                </c:pt>
                <c:pt idx="15">
                  <c:v>34301.01</c:v>
                </c:pt>
                <c:pt idx="16">
                  <c:v>24458.880000000001</c:v>
                </c:pt>
                <c:pt idx="17">
                  <c:v>41156.42</c:v>
                </c:pt>
                <c:pt idx="18">
                  <c:v>14764.11</c:v>
                </c:pt>
                <c:pt idx="19">
                  <c:v>27210.93</c:v>
                </c:pt>
                <c:pt idx="20">
                  <c:v>28904.91</c:v>
                </c:pt>
                <c:pt idx="21">
                  <c:v>37026.68</c:v>
                </c:pt>
                <c:pt idx="22">
                  <c:v>23086.17</c:v>
                </c:pt>
                <c:pt idx="23">
                  <c:v>51593.845999999998</c:v>
                </c:pt>
                <c:pt idx="24">
                  <c:v>26875</c:v>
                </c:pt>
                <c:pt idx="25">
                  <c:v>29741</c:v>
                </c:pt>
                <c:pt idx="26">
                  <c:v>29487</c:v>
                </c:pt>
                <c:pt idx="27">
                  <c:v>20427</c:v>
                </c:pt>
                <c:pt idx="28">
                  <c:v>51991</c:v>
                </c:pt>
                <c:pt idx="29">
                  <c:v>31464</c:v>
                </c:pt>
                <c:pt idx="30">
                  <c:v>19050</c:v>
                </c:pt>
                <c:pt idx="31">
                  <c:v>21454</c:v>
                </c:pt>
                <c:pt idx="32">
                  <c:v>27803</c:v>
                </c:pt>
                <c:pt idx="33">
                  <c:v>18938</c:v>
                </c:pt>
                <c:pt idx="34">
                  <c:v>22744</c:v>
                </c:pt>
                <c:pt idx="35">
                  <c:v>21832</c:v>
                </c:pt>
                <c:pt idx="36">
                  <c:v>18867</c:v>
                </c:pt>
                <c:pt idx="37">
                  <c:v>42066.04</c:v>
                </c:pt>
                <c:pt idx="38">
                  <c:v>36524.94</c:v>
                </c:pt>
                <c:pt idx="39">
                  <c:v>51917</c:v>
                </c:pt>
                <c:pt idx="40">
                  <c:v>69217</c:v>
                </c:pt>
                <c:pt idx="41">
                  <c:v>56053.070000000007</c:v>
                </c:pt>
                <c:pt idx="42">
                  <c:v>67329</c:v>
                </c:pt>
                <c:pt idx="43">
                  <c:v>58782.659999999996</c:v>
                </c:pt>
                <c:pt idx="44">
                  <c:v>70707.820000000007</c:v>
                </c:pt>
                <c:pt idx="45">
                  <c:v>93136.95</c:v>
                </c:pt>
                <c:pt idx="46">
                  <c:v>105518.53</c:v>
                </c:pt>
                <c:pt idx="47">
                  <c:v>85512.463000000003</c:v>
                </c:pt>
                <c:pt idx="48">
                  <c:v>71059.69</c:v>
                </c:pt>
                <c:pt idx="49">
                  <c:v>70271</c:v>
                </c:pt>
                <c:pt idx="50">
                  <c:v>80991.11</c:v>
                </c:pt>
                <c:pt idx="51">
                  <c:v>67899</c:v>
                </c:pt>
                <c:pt idx="52">
                  <c:v>60974.44</c:v>
                </c:pt>
                <c:pt idx="53">
                  <c:v>80652.25</c:v>
                </c:pt>
                <c:pt idx="54">
                  <c:v>78176.290000000008</c:v>
                </c:pt>
                <c:pt idx="55">
                  <c:v>79434.490000000005</c:v>
                </c:pt>
              </c:numCache>
            </c:numRef>
          </c:val>
        </c:ser>
        <c:ser>
          <c:idx val="3"/>
          <c:order val="3"/>
          <c:tx>
            <c:strRef>
              <c:f>'TAB3.0 VOL Historical by County'!$F$33</c:f>
              <c:strCache>
                <c:ptCount val="1"/>
                <c:pt idx="0">
                  <c:v>WASHINGTON</c:v>
                </c:pt>
              </c:strCache>
            </c:strRef>
          </c:tx>
          <c:spPr>
            <a:solidFill>
              <a:schemeClr val="accent4"/>
            </a:solidFill>
            <a:ln>
              <a:noFill/>
            </a:ln>
            <a:effectLst/>
          </c:spPr>
          <c:cat>
            <c:numRef>
              <c:extLst>
                <c:ext xmlns:c15="http://schemas.microsoft.com/office/drawing/2012/chart" uri="{02D57815-91ED-43cb-92C2-25804820EDAC}">
                  <c15:fullRef>
                    <c15:sqref>'TAB3.0 VOL Historical by County'!$G$2:$BU$2</c15:sqref>
                  </c15:fullRef>
                </c:ext>
              </c:extLst>
              <c:f>'TAB3.0 VOL Historical by County'!$R$2:$BU$2</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xmlns:c15="http://schemas.microsoft.com/office/drawing/2012/chart" uri="{02D57815-91ED-43cb-92C2-25804820EDAC}">
                  <c15:fullRef>
                    <c15:sqref>'TAB3.0 VOL Historical by County'!$G$33:$BU$33</c15:sqref>
                  </c15:fullRef>
                </c:ext>
              </c:extLst>
              <c:f>'TAB3.0 VOL Historical by County'!$R$33:$BU$33</c:f>
              <c:numCache>
                <c:formatCode>#,##0</c:formatCode>
                <c:ptCount val="56"/>
                <c:pt idx="0">
                  <c:v>728</c:v>
                </c:pt>
                <c:pt idx="1">
                  <c:v>1605</c:v>
                </c:pt>
                <c:pt idx="2">
                  <c:v>2989</c:v>
                </c:pt>
                <c:pt idx="3">
                  <c:v>2142</c:v>
                </c:pt>
                <c:pt idx="4">
                  <c:v>1822</c:v>
                </c:pt>
                <c:pt idx="5">
                  <c:v>2630</c:v>
                </c:pt>
                <c:pt idx="6">
                  <c:v>830</c:v>
                </c:pt>
                <c:pt idx="7">
                  <c:v>171</c:v>
                </c:pt>
                <c:pt idx="8">
                  <c:v>291.77</c:v>
                </c:pt>
                <c:pt idx="9">
                  <c:v>1020.95</c:v>
                </c:pt>
                <c:pt idx="10">
                  <c:v>3013.76</c:v>
                </c:pt>
                <c:pt idx="11">
                  <c:v>407.63</c:v>
                </c:pt>
                <c:pt idx="12">
                  <c:v>1440</c:v>
                </c:pt>
                <c:pt idx="13">
                  <c:v>2052</c:v>
                </c:pt>
                <c:pt idx="14">
                  <c:v>8169</c:v>
                </c:pt>
                <c:pt idx="15">
                  <c:v>1054.48</c:v>
                </c:pt>
                <c:pt idx="16">
                  <c:v>792.41</c:v>
                </c:pt>
                <c:pt idx="17">
                  <c:v>4988.28</c:v>
                </c:pt>
                <c:pt idx="18">
                  <c:v>2065.3000000000002</c:v>
                </c:pt>
                <c:pt idx="19">
                  <c:v>4145.45</c:v>
                </c:pt>
                <c:pt idx="20">
                  <c:v>513.15</c:v>
                </c:pt>
                <c:pt idx="21">
                  <c:v>4148.8500000000004</c:v>
                </c:pt>
                <c:pt idx="22">
                  <c:v>8105.22</c:v>
                </c:pt>
                <c:pt idx="23">
                  <c:v>11062.842000000001</c:v>
                </c:pt>
                <c:pt idx="24">
                  <c:v>22756</c:v>
                </c:pt>
                <c:pt idx="25">
                  <c:v>3359</c:v>
                </c:pt>
                <c:pt idx="26">
                  <c:v>3303</c:v>
                </c:pt>
                <c:pt idx="27">
                  <c:v>4116</c:v>
                </c:pt>
                <c:pt idx="28">
                  <c:v>17</c:v>
                </c:pt>
                <c:pt idx="29">
                  <c:v>61</c:v>
                </c:pt>
                <c:pt idx="30">
                  <c:v>2320</c:v>
                </c:pt>
                <c:pt idx="31">
                  <c:v>1172</c:v>
                </c:pt>
                <c:pt idx="32">
                  <c:v>2963</c:v>
                </c:pt>
                <c:pt idx="33">
                  <c:v>1688</c:v>
                </c:pt>
                <c:pt idx="34">
                  <c:v>1881</c:v>
                </c:pt>
                <c:pt idx="35">
                  <c:v>5159</c:v>
                </c:pt>
                <c:pt idx="36">
                  <c:v>13275</c:v>
                </c:pt>
                <c:pt idx="37">
                  <c:v>14922.83</c:v>
                </c:pt>
                <c:pt idx="38">
                  <c:v>6369.97</c:v>
                </c:pt>
                <c:pt idx="39">
                  <c:v>11200</c:v>
                </c:pt>
                <c:pt idx="40">
                  <c:v>22774</c:v>
                </c:pt>
                <c:pt idx="41">
                  <c:v>21658</c:v>
                </c:pt>
                <c:pt idx="42">
                  <c:v>28468</c:v>
                </c:pt>
                <c:pt idx="43">
                  <c:v>10342.35</c:v>
                </c:pt>
                <c:pt idx="44">
                  <c:v>35082.83</c:v>
                </c:pt>
                <c:pt idx="45">
                  <c:v>11813.57</c:v>
                </c:pt>
                <c:pt idx="46">
                  <c:v>24613.37</c:v>
                </c:pt>
                <c:pt idx="47">
                  <c:v>30364.74</c:v>
                </c:pt>
                <c:pt idx="48">
                  <c:v>26718.25</c:v>
                </c:pt>
                <c:pt idx="49">
                  <c:v>16801</c:v>
                </c:pt>
                <c:pt idx="50">
                  <c:v>43708.31</c:v>
                </c:pt>
                <c:pt idx="51">
                  <c:v>47440</c:v>
                </c:pt>
                <c:pt idx="52">
                  <c:v>31701.06</c:v>
                </c:pt>
                <c:pt idx="53">
                  <c:v>26254.82</c:v>
                </c:pt>
                <c:pt idx="54">
                  <c:v>43717.43</c:v>
                </c:pt>
                <c:pt idx="55">
                  <c:v>47267.94</c:v>
                </c:pt>
              </c:numCache>
            </c:numRef>
          </c:val>
        </c:ser>
        <c:dLbls>
          <c:showLegendKey val="0"/>
          <c:showVal val="0"/>
          <c:showCatName val="0"/>
          <c:showSerName val="0"/>
          <c:showPercent val="0"/>
          <c:showBubbleSize val="0"/>
        </c:dLbls>
        <c:axId val="472052528"/>
        <c:axId val="472052920"/>
      </c:areaChart>
      <c:catAx>
        <c:axId val="47205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052920"/>
        <c:crosses val="autoZero"/>
        <c:auto val="1"/>
        <c:lblAlgn val="ctr"/>
        <c:lblOffset val="100"/>
        <c:noMultiLvlLbl val="0"/>
      </c:catAx>
      <c:valAx>
        <c:axId val="472052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052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lgn="ctr">
              <a:defRPr/>
            </a:pPr>
            <a:r>
              <a:rPr lang="en-US"/>
              <a:t>Historical ODF Timber Sale Value </a:t>
            </a:r>
          </a:p>
          <a:p>
            <a:pPr algn="ctr">
              <a:defRPr/>
            </a:pPr>
            <a:r>
              <a:rPr lang="en-US" sz="1400"/>
              <a:t>Value of Timber Harvested from Board of Forestry (Green)  and Common School Lands (Red)</a:t>
            </a:r>
          </a:p>
          <a:p>
            <a:pPr algn="ctr">
              <a:defRPr/>
            </a:pPr>
            <a:endParaRPr lang="en-US"/>
          </a:p>
        </c:rich>
      </c:tx>
      <c:layout>
        <c:manualLayout>
          <c:xMode val="edge"/>
          <c:yMode val="edge"/>
          <c:x val="0.19127080238933841"/>
          <c:y val="2.2083817391678499E-3"/>
        </c:manualLayout>
      </c:layout>
      <c:overlay val="0"/>
    </c:title>
    <c:autoTitleDeleted val="0"/>
    <c:view3D>
      <c:rotX val="15"/>
      <c:hPercent val="53"/>
      <c:rotY val="20"/>
      <c:depthPercent val="100"/>
      <c:rAngAx val="1"/>
    </c:view3D>
    <c:floor>
      <c:thickness val="0"/>
    </c:floor>
    <c:sideWall>
      <c:thickness val="0"/>
    </c:sideWall>
    <c:backWall>
      <c:thickness val="0"/>
    </c:backWall>
    <c:plotArea>
      <c:layout>
        <c:manualLayout>
          <c:layoutTarget val="inner"/>
          <c:xMode val="edge"/>
          <c:yMode val="edge"/>
          <c:x val="4.4395116537180909E-2"/>
          <c:y val="0.16808149405772499"/>
          <c:w val="0.90011098779134269"/>
          <c:h val="0.68930390492359939"/>
        </c:manualLayout>
      </c:layout>
      <c:bar3DChart>
        <c:barDir val="col"/>
        <c:grouping val="stacked"/>
        <c:varyColors val="0"/>
        <c:ser>
          <c:idx val="0"/>
          <c:order val="0"/>
          <c:tx>
            <c:v>BOF</c:v>
          </c:tx>
          <c:invertIfNegative val="0"/>
          <c:cat>
            <c:numRef>
              <c:f>'1.1_Annual Harv by FUND'!$A$12:$A$34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'1.1_Annual Harv by FUND'!$C$12:$C$34</c:f>
              <c:numCache>
                <c:formatCode>"$"#,##0_);[Red]\("$"#,##0\)</c:formatCode>
                <c:ptCount val="23"/>
                <c:pt idx="0">
                  <c:v>25537669.559999999</c:v>
                </c:pt>
                <c:pt idx="1">
                  <c:v>31846539.010000002</c:v>
                </c:pt>
                <c:pt idx="2">
                  <c:v>47328190.149999999</c:v>
                </c:pt>
                <c:pt idx="3">
                  <c:v>46860690.660000004</c:v>
                </c:pt>
                <c:pt idx="4">
                  <c:v>66121442.609999992</c:v>
                </c:pt>
                <c:pt idx="5">
                  <c:v>45038652.609999999</c:v>
                </c:pt>
                <c:pt idx="6">
                  <c:v>62759066.349999994</c:v>
                </c:pt>
                <c:pt idx="7">
                  <c:v>74971314.470000014</c:v>
                </c:pt>
                <c:pt idx="8">
                  <c:v>65489876.450000003</c:v>
                </c:pt>
                <c:pt idx="9">
                  <c:v>79544455.349999979</c:v>
                </c:pt>
                <c:pt idx="10">
                  <c:v>86875184.690000013</c:v>
                </c:pt>
                <c:pt idx="11">
                  <c:v>81104303.530000001</c:v>
                </c:pt>
                <c:pt idx="12">
                  <c:v>89542266.030000001</c:v>
                </c:pt>
                <c:pt idx="13">
                  <c:v>103150843.27000001</c:v>
                </c:pt>
                <c:pt idx="14">
                  <c:v>98287294.349999994</c:v>
                </c:pt>
                <c:pt idx="15">
                  <c:v>84621195.149999991</c:v>
                </c:pt>
                <c:pt idx="16">
                  <c:v>67642199.040000007</c:v>
                </c:pt>
                <c:pt idx="17">
                  <c:v>62821429.510000005</c:v>
                </c:pt>
                <c:pt idx="18">
                  <c:v>68027271.930000007</c:v>
                </c:pt>
                <c:pt idx="19">
                  <c:v>71311312.930000022</c:v>
                </c:pt>
                <c:pt idx="20">
                  <c:v>79266394.86999999</c:v>
                </c:pt>
                <c:pt idx="21">
                  <c:v>81170164.050000012</c:v>
                </c:pt>
                <c:pt idx="22">
                  <c:v>97571092</c:v>
                </c:pt>
              </c:numCache>
            </c:numRef>
          </c:val>
        </c:ser>
        <c:ser>
          <c:idx val="1"/>
          <c:order val="1"/>
          <c:tx>
            <c:v>CSL</c:v>
          </c:tx>
          <c:spPr>
            <a:solidFill>
              <a:srgbClr val="C00000"/>
            </a:solidFill>
          </c:spPr>
          <c:invertIfNegative val="0"/>
          <c:cat>
            <c:numRef>
              <c:f>'1.1_Annual Harv by FUND'!$A$12:$A$34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'1.1_Annual Harv by FUND'!$F$12:$F$34</c:f>
              <c:numCache>
                <c:formatCode>"$"#,##0_);[Red]\("$"#,##0\)</c:formatCode>
                <c:ptCount val="23"/>
                <c:pt idx="0">
                  <c:v>9284082.5899999999</c:v>
                </c:pt>
                <c:pt idx="1">
                  <c:v>12140743.26</c:v>
                </c:pt>
                <c:pt idx="2">
                  <c:v>12056945.550000001</c:v>
                </c:pt>
                <c:pt idx="3">
                  <c:v>15528801.640000001</c:v>
                </c:pt>
                <c:pt idx="4">
                  <c:v>16186164.199999999</c:v>
                </c:pt>
                <c:pt idx="5">
                  <c:v>13658303.100000001</c:v>
                </c:pt>
                <c:pt idx="6">
                  <c:v>20089446.690000001</c:v>
                </c:pt>
                <c:pt idx="7">
                  <c:v>24398920.939999998</c:v>
                </c:pt>
                <c:pt idx="8">
                  <c:v>18837865.210000001</c:v>
                </c:pt>
                <c:pt idx="9">
                  <c:v>14043117.18</c:v>
                </c:pt>
                <c:pt idx="10">
                  <c:v>10988958.43</c:v>
                </c:pt>
                <c:pt idx="11">
                  <c:v>14216418.360000001</c:v>
                </c:pt>
                <c:pt idx="12">
                  <c:v>20080172.379999999</c:v>
                </c:pt>
                <c:pt idx="13">
                  <c:v>7609657.7299999995</c:v>
                </c:pt>
                <c:pt idx="14">
                  <c:v>12760991.550000001</c:v>
                </c:pt>
                <c:pt idx="15">
                  <c:v>11988895.34</c:v>
                </c:pt>
                <c:pt idx="16">
                  <c:v>12419783.800000001</c:v>
                </c:pt>
                <c:pt idx="17">
                  <c:v>8221997.7800000003</c:v>
                </c:pt>
                <c:pt idx="18">
                  <c:v>11569904.029999999</c:v>
                </c:pt>
                <c:pt idx="19">
                  <c:v>12004480.739999998</c:v>
                </c:pt>
                <c:pt idx="20">
                  <c:v>3599029.7800000003</c:v>
                </c:pt>
                <c:pt idx="21">
                  <c:v>4028153.6100000003</c:v>
                </c:pt>
                <c:pt idx="22">
                  <c:v>5960575</c:v>
                </c:pt>
              </c:numCache>
            </c:numRef>
          </c:val>
        </c:ser>
        <c:dLbls>
          <c:showLegendKey val="0"/>
          <c:showVal val="0"/>
          <c:showCatName val="0"/>
          <c:showSerName val="0"/>
          <c:showPercent val="0"/>
          <c:showBubbleSize val="0"/>
        </c:dLbls>
        <c:gapWidth val="57"/>
        <c:shape val="box"/>
        <c:axId val="320700104"/>
        <c:axId val="318604104"/>
        <c:axId val="0"/>
      </c:bar3DChart>
      <c:catAx>
        <c:axId val="320700104"/>
        <c:scaling>
          <c:orientation val="minMax"/>
        </c:scaling>
        <c:delete val="0"/>
        <c:axPos val="b"/>
        <c:numFmt formatCode="General" sourceLinked="1"/>
        <c:majorTickMark val="out"/>
        <c:minorTickMark val="none"/>
        <c:tickLblPos val="low"/>
        <c:txPr>
          <a:bodyPr rot="-5400000" vert="horz"/>
          <a:lstStyle/>
          <a:p>
            <a:pPr>
              <a:defRPr/>
            </a:pPr>
            <a:endParaRPr lang="en-US"/>
          </a:p>
        </c:txPr>
        <c:crossAx val="318604104"/>
        <c:crosses val="autoZero"/>
        <c:auto val="1"/>
        <c:lblAlgn val="ctr"/>
        <c:lblOffset val="100"/>
        <c:noMultiLvlLbl val="0"/>
      </c:catAx>
      <c:valAx>
        <c:axId val="318604104"/>
        <c:scaling>
          <c:orientation val="minMax"/>
        </c:scaling>
        <c:delete val="0"/>
        <c:axPos val="l"/>
        <c:majorGridlines/>
        <c:numFmt formatCode="&quot;$&quot;#,##0_);[Red]\(&quot;$&quot;#,##0\)" sourceLinked="1"/>
        <c:majorTickMark val="out"/>
        <c:minorTickMark val="none"/>
        <c:tickLblPos val="nextTo"/>
        <c:txPr>
          <a:bodyPr rot="0" vert="horz"/>
          <a:lstStyle/>
          <a:p>
            <a:pPr>
              <a:defRPr b="1"/>
            </a:pPr>
            <a:endParaRPr lang="en-US"/>
          </a:p>
        </c:txPr>
        <c:crossAx val="320700104"/>
        <c:crosses val="autoZero"/>
        <c:crossBetween val="between"/>
      </c:valAx>
      <c:spPr>
        <a:noFill/>
        <a:ln w="25400">
          <a:noFill/>
        </a:ln>
      </c:spPr>
    </c:plotArea>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baseline="0"/>
              <a:t>Coos District (Elliott) </a:t>
            </a:r>
            <a:r>
              <a:rPr lang="en-US" sz="1600" b="1"/>
              <a:t>Value and Volume of Harvest Removed (mbf)</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4"/>
          <c:order val="0"/>
          <c:tx>
            <c:strRef>
              <c:f>'1.5_CSL_VolVal'!$C$2</c:f>
              <c:strCache>
                <c:ptCount val="1"/>
                <c:pt idx="0">
                  <c:v>VOL MBF CSL</c:v>
                </c:pt>
              </c:strCache>
            </c:strRef>
          </c:tx>
          <c:spPr>
            <a:gradFill flip="none" rotWithShape="1">
              <a:gsLst>
                <a:gs pos="2000">
                  <a:schemeClr val="accent2">
                    <a:lumMod val="67000"/>
                  </a:schemeClr>
                </a:gs>
                <a:gs pos="64000">
                  <a:schemeClr val="accent2">
                    <a:lumMod val="20000"/>
                    <a:lumOff val="80000"/>
                  </a:schemeClr>
                </a:gs>
                <a:gs pos="100000">
                  <a:schemeClr val="accent2">
                    <a:lumMod val="60000"/>
                    <a:lumOff val="40000"/>
                  </a:schemeClr>
                </a:gs>
              </a:gsLst>
              <a:lin ang="5400000" scaled="1"/>
              <a:tileRect/>
            </a:gradFill>
            <a:ln>
              <a:solidFill>
                <a:schemeClr val="accent1"/>
              </a:solidFill>
            </a:ln>
            <a:effectLst/>
          </c:spPr>
          <c:invertIfNegative val="0"/>
          <c:cat>
            <c:numRef>
              <c:f>'1.5_CSL_VolVal'!$A$3:$A$18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'1.5_CSL_VolVal'!$C$3:$C$18</c:f>
              <c:numCache>
                <c:formatCode>#,##0</c:formatCode>
                <c:ptCount val="16"/>
                <c:pt idx="0">
                  <c:v>40852.410000000003</c:v>
                </c:pt>
                <c:pt idx="1">
                  <c:v>31350.34</c:v>
                </c:pt>
                <c:pt idx="2">
                  <c:v>25347.51</c:v>
                </c:pt>
                <c:pt idx="3">
                  <c:v>17923</c:v>
                </c:pt>
                <c:pt idx="4">
                  <c:v>27816.34</c:v>
                </c:pt>
                <c:pt idx="5">
                  <c:v>32942.76</c:v>
                </c:pt>
                <c:pt idx="6">
                  <c:v>11079.18</c:v>
                </c:pt>
                <c:pt idx="7">
                  <c:v>20405.330000000002</c:v>
                </c:pt>
                <c:pt idx="8">
                  <c:v>14637.47</c:v>
                </c:pt>
                <c:pt idx="9">
                  <c:v>18742.32</c:v>
                </c:pt>
                <c:pt idx="10">
                  <c:v>16044.71</c:v>
                </c:pt>
                <c:pt idx="11">
                  <c:v>27873</c:v>
                </c:pt>
                <c:pt idx="12">
                  <c:v>28539.93</c:v>
                </c:pt>
                <c:pt idx="13">
                  <c:v>4514.2700000000004</c:v>
                </c:pt>
                <c:pt idx="14">
                  <c:v>6956.86</c:v>
                </c:pt>
                <c:pt idx="15">
                  <c:v>8254</c:v>
                </c:pt>
              </c:numCache>
            </c:numRef>
          </c:val>
        </c:ser>
        <c:dLbls>
          <c:showLegendKey val="0"/>
          <c:showVal val="0"/>
          <c:showCatName val="0"/>
          <c:showSerName val="0"/>
          <c:showPercent val="0"/>
          <c:showBubbleSize val="0"/>
        </c:dLbls>
        <c:gapWidth val="62"/>
        <c:axId val="469923824"/>
        <c:axId val="469922032"/>
      </c:barChart>
      <c:lineChart>
        <c:grouping val="standard"/>
        <c:varyColors val="0"/>
        <c:ser>
          <c:idx val="0"/>
          <c:order val="1"/>
          <c:tx>
            <c:strRef>
              <c:f>'1.5_CSL_VolVal'!$F$2</c:f>
              <c:strCache>
                <c:ptCount val="1"/>
                <c:pt idx="0">
                  <c:v>VAL CSL</c:v>
                </c:pt>
              </c:strCache>
            </c:strRef>
          </c:tx>
          <c:spPr>
            <a:ln w="28575" cap="rnd">
              <a:solidFill>
                <a:srgbClr val="3333FF"/>
              </a:solidFill>
              <a:round/>
            </a:ln>
            <a:effectLst/>
          </c:spPr>
          <c:marker>
            <c:symbol val="none"/>
          </c:marker>
          <c:cat>
            <c:numRef>
              <c:f>'1.5_CSL_VolVal'!$A$3:$A$18</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'1.5_CSL_VolVal'!$F$3:$F$18</c:f>
              <c:numCache>
                <c:formatCode>"$"#,##0_);[Red]\("$"#,##0\)</c:formatCode>
                <c:ptCount val="16"/>
                <c:pt idx="0">
                  <c:v>20727140.879999999</c:v>
                </c:pt>
                <c:pt idx="1">
                  <c:v>17117533.879999999</c:v>
                </c:pt>
                <c:pt idx="2">
                  <c:v>12494524.9</c:v>
                </c:pt>
                <c:pt idx="3">
                  <c:v>8559888.9399999995</c:v>
                </c:pt>
                <c:pt idx="4">
                  <c:v>12830294.880000001</c:v>
                </c:pt>
                <c:pt idx="5">
                  <c:v>18143239.010000002</c:v>
                </c:pt>
                <c:pt idx="6">
                  <c:v>5970215.5999999996</c:v>
                </c:pt>
                <c:pt idx="7">
                  <c:v>10723012.59</c:v>
                </c:pt>
                <c:pt idx="8">
                  <c:v>8664937</c:v>
                </c:pt>
                <c:pt idx="9">
                  <c:v>8676962.4600000009</c:v>
                </c:pt>
                <c:pt idx="10">
                  <c:v>6394983.7599999998</c:v>
                </c:pt>
                <c:pt idx="11">
                  <c:v>10650015</c:v>
                </c:pt>
                <c:pt idx="12">
                  <c:v>10939549.85</c:v>
                </c:pt>
                <c:pt idx="13">
                  <c:v>1672545.78</c:v>
                </c:pt>
                <c:pt idx="14">
                  <c:v>2524725.08</c:v>
                </c:pt>
                <c:pt idx="15">
                  <c:v>3592161</c:v>
                </c:pt>
              </c:numCache>
            </c:numRef>
          </c:val>
          <c:smooth val="0"/>
        </c:ser>
        <c:dLbls>
          <c:showLegendKey val="0"/>
          <c:showVal val="0"/>
          <c:showCatName val="0"/>
          <c:showSerName val="0"/>
          <c:showPercent val="0"/>
          <c:showBubbleSize val="0"/>
        </c:dLbls>
        <c:marker val="1"/>
        <c:smooth val="0"/>
        <c:axId val="471092472"/>
        <c:axId val="469922416"/>
      </c:lineChart>
      <c:catAx>
        <c:axId val="46992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922032"/>
        <c:crosses val="autoZero"/>
        <c:auto val="1"/>
        <c:lblAlgn val="ctr"/>
        <c:lblOffset val="100"/>
        <c:noMultiLvlLbl val="0"/>
      </c:catAx>
      <c:valAx>
        <c:axId val="469922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Volume</a:t>
                </a:r>
                <a:r>
                  <a:rPr lang="en-US" sz="1400" b="1" baseline="0"/>
                  <a:t> </a:t>
                </a:r>
                <a:r>
                  <a:rPr lang="en-US" sz="1400" b="1"/>
                  <a:t>MBF</a:t>
                </a:r>
              </a:p>
            </c:rich>
          </c:tx>
          <c:layout>
            <c:manualLayout>
              <c:xMode val="edge"/>
              <c:yMode val="edge"/>
              <c:x val="1.4597498279282013E-2"/>
              <c:y val="9.9155410739928174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69923824"/>
        <c:crosses val="autoZero"/>
        <c:crossBetween val="between"/>
      </c:valAx>
      <c:valAx>
        <c:axId val="469922416"/>
        <c:scaling>
          <c:orientation val="minMax"/>
        </c:scaling>
        <c:delete val="0"/>
        <c:axPos val="r"/>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71092472"/>
        <c:crosses val="max"/>
        <c:crossBetween val="between"/>
        <c:dispUnits>
          <c:builtInUnit val="millions"/>
          <c:dispUnitsLbl>
            <c:layout>
              <c:manualLayout>
                <c:xMode val="edge"/>
                <c:yMode val="edge"/>
                <c:x val="0.96803147876837237"/>
                <c:y val="8.578785604550547E-2"/>
              </c:manualLayout>
            </c:layout>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dispUnitsLbl>
        </c:dispUnits>
      </c:valAx>
      <c:catAx>
        <c:axId val="471092472"/>
        <c:scaling>
          <c:orientation val="minMax"/>
        </c:scaling>
        <c:delete val="1"/>
        <c:axPos val="b"/>
        <c:numFmt formatCode="General" sourceLinked="1"/>
        <c:majorTickMark val="out"/>
        <c:minorTickMark val="none"/>
        <c:tickLblPos val="nextTo"/>
        <c:crossAx val="46992241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Volume</a:t>
            </a:r>
            <a:r>
              <a:rPr lang="en-US"/>
              <a:t> </a:t>
            </a:r>
            <a:r>
              <a:rPr lang="en-US" sz="1050"/>
              <a:t>(mbf)</a:t>
            </a:r>
            <a:r>
              <a:rPr lang="en-US"/>
              <a:t> from the Elliott and Other Districts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1717590591255284E-2"/>
          <c:y val="0.18513229710410387"/>
          <c:w val="0.90998308725550059"/>
          <c:h val="0.6507999851879086"/>
        </c:manualLayout>
      </c:layout>
      <c:barChart>
        <c:barDir val="col"/>
        <c:grouping val="stacked"/>
        <c:varyColors val="0"/>
        <c:ser>
          <c:idx val="0"/>
          <c:order val="0"/>
          <c:tx>
            <c:strRef>
              <c:f>'1.6_CSL Elliott VolVal_Charts'!$E$3</c:f>
              <c:strCache>
                <c:ptCount val="1"/>
                <c:pt idx="0">
                  <c:v>Coos/Elliott</c:v>
                </c:pt>
              </c:strCache>
            </c:strRef>
          </c:tx>
          <c:spPr>
            <a:solidFill>
              <a:schemeClr val="accent1"/>
            </a:solidFill>
            <a:ln>
              <a:noFill/>
            </a:ln>
            <a:effectLst/>
          </c:spPr>
          <c:invertIfNegative val="0"/>
          <c:cat>
            <c:strRef>
              <c:f>'1.6_CSL Elliott VolVal_Charts'!$F$2:$U$2</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'1.6_CSL Elliott VolVal_Charts'!$F$3:$U$3</c:f>
              <c:numCache>
                <c:formatCode>#,##0</c:formatCode>
                <c:ptCount val="16"/>
                <c:pt idx="0">
                  <c:v>40852.410000000003</c:v>
                </c:pt>
                <c:pt idx="1">
                  <c:v>31350.34</c:v>
                </c:pt>
                <c:pt idx="2">
                  <c:v>25347.51</c:v>
                </c:pt>
                <c:pt idx="3">
                  <c:v>17923</c:v>
                </c:pt>
                <c:pt idx="4">
                  <c:v>27816.34</c:v>
                </c:pt>
                <c:pt idx="5">
                  <c:v>32942.76</c:v>
                </c:pt>
                <c:pt idx="6">
                  <c:v>11079.18</c:v>
                </c:pt>
                <c:pt idx="7">
                  <c:v>20405.330000000002</c:v>
                </c:pt>
                <c:pt idx="8">
                  <c:v>14637.47</c:v>
                </c:pt>
                <c:pt idx="9">
                  <c:v>18742.32</c:v>
                </c:pt>
                <c:pt idx="10">
                  <c:v>16044.71</c:v>
                </c:pt>
                <c:pt idx="11">
                  <c:v>27873</c:v>
                </c:pt>
                <c:pt idx="12">
                  <c:v>28539.93</c:v>
                </c:pt>
                <c:pt idx="13">
                  <c:v>4514.2700000000004</c:v>
                </c:pt>
                <c:pt idx="14">
                  <c:v>6956.86</c:v>
                </c:pt>
                <c:pt idx="15">
                  <c:v>8254</c:v>
                </c:pt>
              </c:numCache>
            </c:numRef>
          </c:val>
        </c:ser>
        <c:ser>
          <c:idx val="1"/>
          <c:order val="1"/>
          <c:tx>
            <c:strRef>
              <c:f>'1.6_CSL Elliott VolVal_Charts'!$E$4</c:f>
              <c:strCache>
                <c:ptCount val="1"/>
                <c:pt idx="0">
                  <c:v>Other Districts</c:v>
                </c:pt>
              </c:strCache>
            </c:strRef>
          </c:tx>
          <c:spPr>
            <a:solidFill>
              <a:schemeClr val="accent2"/>
            </a:solidFill>
            <a:ln>
              <a:noFill/>
            </a:ln>
            <a:effectLst/>
          </c:spPr>
          <c:invertIfNegative val="0"/>
          <c:cat>
            <c:strRef>
              <c:f>'1.6_CSL Elliott VolVal_Charts'!$F$2:$U$2</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'1.6_CSL Elliott VolVal_Charts'!$F$4:$U$4</c:f>
              <c:numCache>
                <c:formatCode>_(* #,##0_);_(* \(#,##0\);_(* "-"??_);_(@_)</c:formatCode>
                <c:ptCount val="16"/>
                <c:pt idx="0">
                  <c:v>8862.3000000000029</c:v>
                </c:pt>
                <c:pt idx="1">
                  <c:v>4276.2800000000025</c:v>
                </c:pt>
                <c:pt idx="2">
                  <c:v>4209.2599999999984</c:v>
                </c:pt>
                <c:pt idx="3">
                  <c:v>6367.1500000000015</c:v>
                </c:pt>
                <c:pt idx="4">
                  <c:v>4606.91</c:v>
                </c:pt>
                <c:pt idx="5">
                  <c:v>9163.6199999999953</c:v>
                </c:pt>
                <c:pt idx="6">
                  <c:v>6753.68</c:v>
                </c:pt>
                <c:pt idx="7">
                  <c:v>6678.27</c:v>
                </c:pt>
                <c:pt idx="8">
                  <c:v>8336.56</c:v>
                </c:pt>
                <c:pt idx="9">
                  <c:v>10545.29</c:v>
                </c:pt>
                <c:pt idx="10">
                  <c:v>8766.7999999999993</c:v>
                </c:pt>
                <c:pt idx="11">
                  <c:v>4242.8499999999985</c:v>
                </c:pt>
                <c:pt idx="12">
                  <c:v>3710.0400000000009</c:v>
                </c:pt>
                <c:pt idx="13">
                  <c:v>6561.9700000000012</c:v>
                </c:pt>
                <c:pt idx="14">
                  <c:v>4006.3599999999997</c:v>
                </c:pt>
                <c:pt idx="15">
                  <c:v>7019</c:v>
                </c:pt>
              </c:numCache>
            </c:numRef>
          </c:val>
        </c:ser>
        <c:dLbls>
          <c:showLegendKey val="0"/>
          <c:showVal val="0"/>
          <c:showCatName val="0"/>
          <c:showSerName val="0"/>
          <c:showPercent val="0"/>
          <c:showBubbleSize val="0"/>
        </c:dLbls>
        <c:gapWidth val="150"/>
        <c:overlap val="100"/>
        <c:axId val="318873288"/>
        <c:axId val="318873680"/>
      </c:barChart>
      <c:catAx>
        <c:axId val="31887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3680"/>
        <c:crosses val="autoZero"/>
        <c:auto val="1"/>
        <c:lblAlgn val="ctr"/>
        <c:lblOffset val="100"/>
        <c:noMultiLvlLbl val="0"/>
      </c:catAx>
      <c:valAx>
        <c:axId val="318873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3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Value </a:t>
            </a:r>
            <a:r>
              <a:rPr lang="en-US"/>
              <a:t>of Timber Removed from the Elliott and Other Districts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'1.6_CSL Elliott VolVal_Charts'!$E$5</c:f>
              <c:strCache>
                <c:ptCount val="1"/>
                <c:pt idx="0">
                  <c:v>Coos/Elliott</c:v>
                </c:pt>
              </c:strCache>
            </c:strRef>
          </c:tx>
          <c:spPr>
            <a:solidFill>
              <a:schemeClr val="accent3">
                <a:lumMod val="50000"/>
              </a:schemeClr>
            </a:solidFill>
            <a:ln>
              <a:noFill/>
            </a:ln>
            <a:effectLst/>
          </c:spPr>
          <c:invertIfNegative val="0"/>
          <c:cat>
            <c:strRef>
              <c:f>'1.6_CSL Elliott VolVal_Charts'!$F$2:$U$2</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'1.6_CSL Elliott VolVal_Charts'!$F$5:$U$5</c:f>
              <c:numCache>
                <c:formatCode>"$"#,##0_);[Red]\("$"#,##0\)</c:formatCode>
                <c:ptCount val="16"/>
                <c:pt idx="0">
                  <c:v>20727140.879999999</c:v>
                </c:pt>
                <c:pt idx="1">
                  <c:v>17117533.879999999</c:v>
                </c:pt>
                <c:pt idx="2">
                  <c:v>12494524.9</c:v>
                </c:pt>
                <c:pt idx="3">
                  <c:v>8559888.9399999995</c:v>
                </c:pt>
                <c:pt idx="4">
                  <c:v>12830294.880000001</c:v>
                </c:pt>
                <c:pt idx="5">
                  <c:v>18143239.010000002</c:v>
                </c:pt>
                <c:pt idx="6">
                  <c:v>5970215.5999999996</c:v>
                </c:pt>
                <c:pt idx="7">
                  <c:v>10723012.59</c:v>
                </c:pt>
                <c:pt idx="8">
                  <c:v>8664937</c:v>
                </c:pt>
                <c:pt idx="9">
                  <c:v>8676962.4600000009</c:v>
                </c:pt>
                <c:pt idx="10">
                  <c:v>6394983.7599999998</c:v>
                </c:pt>
                <c:pt idx="11">
                  <c:v>10650015</c:v>
                </c:pt>
                <c:pt idx="12">
                  <c:v>10939549.85</c:v>
                </c:pt>
                <c:pt idx="13">
                  <c:v>1672545.78</c:v>
                </c:pt>
                <c:pt idx="14">
                  <c:v>2524725.08</c:v>
                </c:pt>
                <c:pt idx="15">
                  <c:v>3592161</c:v>
                </c:pt>
              </c:numCache>
            </c:numRef>
          </c:val>
        </c:ser>
        <c:ser>
          <c:idx val="1"/>
          <c:order val="1"/>
          <c:tx>
            <c:strRef>
              <c:f>'1.6_CSL Elliott VolVal_Charts'!$E$6</c:f>
              <c:strCache>
                <c:ptCount val="1"/>
                <c:pt idx="0">
                  <c:v>Other Districts</c:v>
                </c:pt>
              </c:strCache>
            </c:strRef>
          </c:tx>
          <c:spPr>
            <a:solidFill>
              <a:schemeClr val="accent2"/>
            </a:solidFill>
            <a:ln>
              <a:noFill/>
            </a:ln>
            <a:effectLst/>
          </c:spPr>
          <c:invertIfNegative val="0"/>
          <c:cat>
            <c:strRef>
              <c:f>'1.6_CSL Elliott VolVal_Charts'!$F$2:$U$2</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strCache>
            </c:strRef>
          </c:cat>
          <c:val>
            <c:numRef>
              <c:f>'1.6_CSL Elliott VolVal_Charts'!$F$6:$U$6</c:f>
              <c:numCache>
                <c:formatCode>"$"#,##0</c:formatCode>
                <c:ptCount val="16"/>
                <c:pt idx="0">
                  <c:v>3671780.0599999987</c:v>
                </c:pt>
                <c:pt idx="1">
                  <c:v>1720331.3300000019</c:v>
                </c:pt>
                <c:pt idx="2">
                  <c:v>1548592.2799999993</c:v>
                </c:pt>
                <c:pt idx="3">
                  <c:v>2429069.4900000002</c:v>
                </c:pt>
                <c:pt idx="4">
                  <c:v>1386123.4800000004</c:v>
                </c:pt>
                <c:pt idx="5">
                  <c:v>1936933.3699999973</c:v>
                </c:pt>
                <c:pt idx="6">
                  <c:v>1639442.13</c:v>
                </c:pt>
                <c:pt idx="7">
                  <c:v>2037978.9600000009</c:v>
                </c:pt>
                <c:pt idx="8">
                  <c:v>3323958.34</c:v>
                </c:pt>
                <c:pt idx="9">
                  <c:v>3742821.34</c:v>
                </c:pt>
                <c:pt idx="10">
                  <c:v>1827014.0200000005</c:v>
                </c:pt>
                <c:pt idx="11">
                  <c:v>919889.02999999933</c:v>
                </c:pt>
                <c:pt idx="12">
                  <c:v>1064930.8899999987</c:v>
                </c:pt>
                <c:pt idx="13">
                  <c:v>1926484.0000000002</c:v>
                </c:pt>
                <c:pt idx="14">
                  <c:v>1503428.5300000003</c:v>
                </c:pt>
                <c:pt idx="15">
                  <c:v>2368414</c:v>
                </c:pt>
              </c:numCache>
            </c:numRef>
          </c:val>
        </c:ser>
        <c:dLbls>
          <c:showLegendKey val="0"/>
          <c:showVal val="0"/>
          <c:showCatName val="0"/>
          <c:showSerName val="0"/>
          <c:showPercent val="0"/>
          <c:showBubbleSize val="0"/>
        </c:dLbls>
        <c:gapWidth val="150"/>
        <c:overlap val="100"/>
        <c:axId val="318874856"/>
        <c:axId val="318875248"/>
      </c:barChart>
      <c:catAx>
        <c:axId val="31887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5248"/>
        <c:crosses val="autoZero"/>
        <c:auto val="1"/>
        <c:lblAlgn val="ctr"/>
        <c:lblOffset val="100"/>
        <c:noMultiLvlLbl val="0"/>
      </c:catAx>
      <c:valAx>
        <c:axId val="3188752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4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[1_VolVal_Historical_Annual_MASTER.xlsx]1.7_District Pivots!PivotTable1</c:name>
    <c:fmtId val="2"/>
  </c:pivotSource>
  <c:chart>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manualLayout>
          <c:layoutTarget val="inner"/>
          <c:xMode val="edge"/>
          <c:yMode val="edge"/>
          <c:x val="8.1918750801895091E-2"/>
          <c:y val="0.16943266707046234"/>
          <c:w val="0.88712963318609572"/>
          <c:h val="0.71353227000471098"/>
        </c:manualLayout>
      </c:layout>
      <c:lineChart>
        <c:grouping val="stacked"/>
        <c:varyColors val="0"/>
        <c:ser>
          <c:idx val="0"/>
          <c:order val="0"/>
          <c:tx>
            <c:strRef>
              <c:f>'1.7_District Pivots'!$B$3</c:f>
              <c:strCache>
                <c:ptCount val="1"/>
                <c:pt idx="0">
                  <c:v>Sum of AOP PLANNED VOLUME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'1.7_District Pivots'!$A$4:$A$24</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'1.7_District Pivots'!$B$4:$B$24</c:f>
              <c:numCache>
                <c:formatCode>_(* #,##0_);_(* \(#,##0\);_(* "-"??_);_(@_)</c:formatCode>
                <c:ptCount val="20"/>
                <c:pt idx="0">
                  <c:v>15700</c:v>
                </c:pt>
                <c:pt idx="1">
                  <c:v>25100</c:v>
                </c:pt>
                <c:pt idx="2">
                  <c:v>29200</c:v>
                </c:pt>
                <c:pt idx="3">
                  <c:v>45355</c:v>
                </c:pt>
                <c:pt idx="4">
                  <c:v>41704</c:v>
                </c:pt>
                <c:pt idx="5">
                  <c:v>37150</c:v>
                </c:pt>
                <c:pt idx="6">
                  <c:v>24000</c:v>
                </c:pt>
                <c:pt idx="7">
                  <c:v>53396</c:v>
                </c:pt>
                <c:pt idx="8">
                  <c:v>68010</c:v>
                </c:pt>
                <c:pt idx="9">
                  <c:v>67228</c:v>
                </c:pt>
                <c:pt idx="10">
                  <c:v>90430</c:v>
                </c:pt>
                <c:pt idx="11">
                  <c:v>58100</c:v>
                </c:pt>
                <c:pt idx="12">
                  <c:v>59700</c:v>
                </c:pt>
                <c:pt idx="13">
                  <c:v>35300</c:v>
                </c:pt>
                <c:pt idx="14">
                  <c:v>34878</c:v>
                </c:pt>
                <c:pt idx="15">
                  <c:v>50107</c:v>
                </c:pt>
                <c:pt idx="16">
                  <c:v>49027</c:v>
                </c:pt>
                <c:pt idx="17">
                  <c:v>49000</c:v>
                </c:pt>
                <c:pt idx="18">
                  <c:v>50900</c:v>
                </c:pt>
                <c:pt idx="19">
                  <c:v>47000</c:v>
                </c:pt>
              </c:numCache>
            </c:numRef>
          </c:val>
          <c:smooth val="0"/>
        </c:ser>
        <c:ser>
          <c:idx val="1"/>
          <c:order val="1"/>
          <c:tx>
            <c:strRef>
              <c:f>'1.7_District Pivots'!$C$3</c:f>
              <c:strCache>
                <c:ptCount val="1"/>
                <c:pt idx="0">
                  <c:v>Sum of SOLD VOLUME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'1.7_District Pivots'!$A$4:$A$24</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'1.7_District Pivots'!$C$4:$C$24</c:f>
              <c:numCache>
                <c:formatCode>_(* #,##0_);_(* \(#,##0\);_(* "-"??_);_(@_)</c:formatCode>
                <c:ptCount val="20"/>
                <c:pt idx="0">
                  <c:v>26760</c:v>
                </c:pt>
                <c:pt idx="1">
                  <c:v>38599</c:v>
                </c:pt>
                <c:pt idx="2">
                  <c:v>30053</c:v>
                </c:pt>
                <c:pt idx="3">
                  <c:v>48624</c:v>
                </c:pt>
                <c:pt idx="4">
                  <c:v>51772</c:v>
                </c:pt>
                <c:pt idx="5">
                  <c:v>33521</c:v>
                </c:pt>
                <c:pt idx="6">
                  <c:v>32271</c:v>
                </c:pt>
                <c:pt idx="7">
                  <c:v>57882</c:v>
                </c:pt>
                <c:pt idx="8">
                  <c:v>68806</c:v>
                </c:pt>
                <c:pt idx="9">
                  <c:v>54796</c:v>
                </c:pt>
                <c:pt idx="10">
                  <c:v>76918</c:v>
                </c:pt>
                <c:pt idx="11">
                  <c:v>50820</c:v>
                </c:pt>
                <c:pt idx="12">
                  <c:v>25189</c:v>
                </c:pt>
                <c:pt idx="13">
                  <c:v>27282</c:v>
                </c:pt>
                <c:pt idx="14">
                  <c:v>38471</c:v>
                </c:pt>
                <c:pt idx="15">
                  <c:v>47747</c:v>
                </c:pt>
                <c:pt idx="16">
                  <c:v>50716</c:v>
                </c:pt>
                <c:pt idx="17">
                  <c:v>41281</c:v>
                </c:pt>
                <c:pt idx="18">
                  <c:v>33096</c:v>
                </c:pt>
                <c:pt idx="19">
                  <c:v>36088</c:v>
                </c:pt>
              </c:numCache>
            </c:numRef>
          </c:val>
          <c:smooth val="0"/>
        </c:ser>
        <c:dLbls>
          <c:showLegendKey val="0"/>
          <c:showVal val="0"/>
          <c:showCatName val="0"/>
          <c:showSerName val="0"/>
          <c:showPercent val="0"/>
          <c:showBubbleSize val="0"/>
        </c:dLbls>
        <c:marker val="1"/>
        <c:smooth val="0"/>
        <c:axId val="318874464"/>
        <c:axId val="318872896"/>
      </c:lineChart>
      <c:catAx>
        <c:axId val="31887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2896"/>
        <c:crosses val="autoZero"/>
        <c:auto val="1"/>
        <c:lblAlgn val="ctr"/>
        <c:lblOffset val="100"/>
        <c:noMultiLvlLbl val="0"/>
      </c:catAx>
      <c:valAx>
        <c:axId val="3188728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74464"/>
        <c:crosses val="autoZero"/>
        <c:crossBetween val="between"/>
      </c:valAx>
      <c:spPr>
        <a:noFill/>
        <a:ln>
          <a:noFill/>
        </a:ln>
        <a:effectLst/>
      </c:spPr>
    </c:plotArea>
    <c:legend>
      <c:legendPos val="r"/>
      <c:layout>
        <c:manualLayout>
          <c:xMode val="edge"/>
          <c:yMode val="edge"/>
          <c:x val="0.60364738890397318"/>
          <c:y val="1.345358231785564E-2"/>
          <c:w val="0.29590093759249336"/>
          <c:h val="0.139398549186486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ASTORIA</a:t>
            </a:r>
          </a:p>
        </c:rich>
      </c:tx>
      <c:layout>
        <c:manualLayout>
          <c:xMode val="edge"/>
          <c:yMode val="edge"/>
          <c:x val="7.896240137165518E-2"/>
          <c:y val="2.761320490278521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Graphs'!$R$1</c:f>
              <c:strCache>
                <c:ptCount val="1"/>
                <c:pt idx="0">
                  <c:v>TOTAL AOP Planned Volume</c:v>
                </c:pt>
              </c:strCache>
            </c:strRef>
          </c:tx>
          <c:marker>
            <c:symbol val="none"/>
          </c:marker>
          <c:cat>
            <c:strRef>
              <c:f>'TAB2.0 Accomplishment Graphs'!$Q$2:$Q$21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Graphs'!$R$2:$R$21</c:f>
              <c:numCache>
                <c:formatCode>#,##0</c:formatCode>
                <c:ptCount val="10"/>
                <c:pt idx="0">
                  <c:v>75902</c:v>
                </c:pt>
                <c:pt idx="1">
                  <c:v>61400</c:v>
                </c:pt>
                <c:pt idx="2">
                  <c:v>50000</c:v>
                </c:pt>
                <c:pt idx="3">
                  <c:v>77557</c:v>
                </c:pt>
                <c:pt idx="4">
                  <c:v>61000</c:v>
                </c:pt>
                <c:pt idx="5">
                  <c:v>61490.5</c:v>
                </c:pt>
                <c:pt idx="6">
                  <c:v>71824</c:v>
                </c:pt>
                <c:pt idx="7">
                  <c:v>68500</c:v>
                </c:pt>
                <c:pt idx="8">
                  <c:v>64948</c:v>
                </c:pt>
                <c:pt idx="9">
                  <c:v>73030</c:v>
                </c:pt>
              </c:numCache>
            </c:numRef>
          </c:val>
          <c:smooth val="0"/>
        </c:ser>
        <c:ser>
          <c:idx val="1"/>
          <c:order val="1"/>
          <c:tx>
            <c:strRef>
              <c:f>'TAB2.0 Accomplishment Graphs'!$S$1</c:f>
              <c:strCache>
                <c:ptCount val="1"/>
                <c:pt idx="0">
                  <c:v>TOTALSold Volume</c:v>
                </c:pt>
              </c:strCache>
            </c:strRef>
          </c:tx>
          <c:marker>
            <c:symbol val="none"/>
          </c:marker>
          <c:cat>
            <c:strRef>
              <c:f>'TAB2.0 Accomplishment Graphs'!$Q$2:$Q$21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Graphs'!$S$2:$S$21</c:f>
              <c:numCache>
                <c:formatCode>#,##0_);[Red]\(#,##0\)</c:formatCode>
                <c:ptCount val="10"/>
                <c:pt idx="0">
                  <c:v>79583</c:v>
                </c:pt>
                <c:pt idx="1">
                  <c:v>92793</c:v>
                </c:pt>
                <c:pt idx="2">
                  <c:v>79168</c:v>
                </c:pt>
                <c:pt idx="3">
                  <c:v>70825</c:v>
                </c:pt>
                <c:pt idx="4">
                  <c:v>58787</c:v>
                </c:pt>
                <c:pt idx="5">
                  <c:v>59578</c:v>
                </c:pt>
                <c:pt idx="6">
                  <c:v>70275</c:v>
                </c:pt>
                <c:pt idx="7">
                  <c:v>75708</c:v>
                </c:pt>
                <c:pt idx="8">
                  <c:v>73096</c:v>
                </c:pt>
                <c:pt idx="9">
                  <c:v>78600.700000000012</c:v>
                </c:pt>
              </c:numCache>
            </c:numRef>
          </c:val>
          <c:smooth val="0"/>
        </c:ser>
        <c:ser>
          <c:idx val="2"/>
          <c:order val="2"/>
          <c:tx>
            <c:strRef>
              <c:f>'TAB2.0 Accomplishment Graphs'!$T$1</c:f>
              <c:strCache>
                <c:ptCount val="1"/>
                <c:pt idx="0">
                  <c:v>TOTAL Harvested Volume (MBF)</c:v>
                </c:pt>
              </c:strCache>
            </c:strRef>
          </c:tx>
          <c:marker>
            <c:symbol val="none"/>
          </c:marker>
          <c:cat>
            <c:strRef>
              <c:f>'TAB2.0 Accomplishment Graphs'!$Q$2:$Q$21</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Graphs'!$T$2:$T$21</c:f>
              <c:numCache>
                <c:formatCode>#,##0_);[Red]\(#,##0\)</c:formatCode>
                <c:ptCount val="10"/>
                <c:pt idx="0">
                  <c:v>82955.01999999999</c:v>
                </c:pt>
                <c:pt idx="1">
                  <c:v>68833.16</c:v>
                </c:pt>
                <c:pt idx="2">
                  <c:v>82748</c:v>
                </c:pt>
                <c:pt idx="3">
                  <c:v>97317.33</c:v>
                </c:pt>
                <c:pt idx="4">
                  <c:v>82201</c:v>
                </c:pt>
                <c:pt idx="5">
                  <c:v>54789</c:v>
                </c:pt>
                <c:pt idx="6">
                  <c:v>47729.34</c:v>
                </c:pt>
                <c:pt idx="7">
                  <c:v>76446.040000000008</c:v>
                </c:pt>
                <c:pt idx="8">
                  <c:v>60912.06</c:v>
                </c:pt>
                <c:pt idx="9">
                  <c:v>79677.8</c:v>
                </c:pt>
              </c:numCache>
            </c:numRef>
          </c:val>
          <c:smooth val="0"/>
        </c:ser>
        <c:dLbls>
          <c:showLegendKey val="0"/>
          <c:showVal val="0"/>
          <c:showCatName val="0"/>
          <c:showSerName val="0"/>
          <c:showPercent val="0"/>
          <c:showBubbleSize val="0"/>
        </c:dLbls>
        <c:smooth val="0"/>
        <c:axId val="318872112"/>
        <c:axId val="318871720"/>
      </c:lineChart>
      <c:catAx>
        <c:axId val="318872112"/>
        <c:scaling>
          <c:orientation val="minMax"/>
        </c:scaling>
        <c:delete val="0"/>
        <c:axPos val="b"/>
        <c:numFmt formatCode="General" sourceLinked="1"/>
        <c:majorTickMark val="out"/>
        <c:minorTickMark val="none"/>
        <c:tickLblPos val="nextTo"/>
        <c:crossAx val="318871720"/>
        <c:crosses val="autoZero"/>
        <c:auto val="1"/>
        <c:lblAlgn val="ctr"/>
        <c:lblOffset val="100"/>
        <c:noMultiLvlLbl val="0"/>
      </c:catAx>
      <c:valAx>
        <c:axId val="318871720"/>
        <c:scaling>
          <c:orientation val="minMax"/>
        </c:scaling>
        <c:delete val="0"/>
        <c:axPos val="l"/>
        <c:majorGridlines>
          <c:spPr>
            <a:ln>
              <a:solidFill>
                <a:schemeClr val="accent1"/>
              </a:solidFill>
            </a:ln>
          </c:spPr>
        </c:majorGridlines>
        <c:numFmt formatCode="#,##0" sourceLinked="1"/>
        <c:majorTickMark val="out"/>
        <c:minorTickMark val="none"/>
        <c:tickLblPos val="nextTo"/>
        <c:crossAx val="318872112"/>
        <c:crosses val="autoZero"/>
        <c:crossBetween val="between"/>
      </c:valAx>
    </c:plotArea>
    <c:legend>
      <c:legendPos val="r"/>
      <c:layout>
        <c:manualLayout>
          <c:xMode val="edge"/>
          <c:yMode val="edge"/>
          <c:x val="0.72727379788591584"/>
          <c:y val="1.8099590000208516E-2"/>
          <c:w val="0.25603006150065399"/>
          <c:h val="0.18552079750213726"/>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TILLAMOOK</a:t>
            </a:r>
          </a:p>
        </c:rich>
      </c:tx>
      <c:layout>
        <c:manualLayout>
          <c:xMode val="edge"/>
          <c:yMode val="edge"/>
          <c:x val="7.5570716703890276E-2"/>
          <c:y val="2.7613185042517169E-2"/>
        </c:manualLayout>
      </c:layout>
      <c:overlay val="1"/>
      <c:spPr>
        <a:solidFill>
          <a:sysClr val="window" lastClr="FFFFFF">
            <a:lumMod val="85000"/>
          </a:sysClr>
        </a:solidFill>
      </c:spPr>
    </c:title>
    <c:autoTitleDeleted val="0"/>
    <c:plotArea>
      <c:layout/>
      <c:lineChart>
        <c:grouping val="standard"/>
        <c:varyColors val="0"/>
        <c:ser>
          <c:idx val="0"/>
          <c:order val="0"/>
          <c:tx>
            <c:strRef>
              <c:f>'TAB2.0 Accomplishment Graphs'!$R$23</c:f>
              <c:strCache>
                <c:ptCount val="1"/>
                <c:pt idx="0">
                  <c:v>TOTAL AOP Planned Volume</c:v>
                </c:pt>
              </c:strCache>
            </c:strRef>
          </c:tx>
          <c:marker>
            <c:symbol val="none"/>
          </c:marker>
          <c:cat>
            <c:strRef>
              <c:f>'TAB2.0 Accomplishment Graphs'!$Q$24:$Q$43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Graphs'!$R$24:$R$43</c:f>
              <c:numCache>
                <c:formatCode>#,##0</c:formatCode>
                <c:ptCount val="10"/>
                <c:pt idx="0">
                  <c:v>90430</c:v>
                </c:pt>
                <c:pt idx="1">
                  <c:v>58100</c:v>
                </c:pt>
                <c:pt idx="2">
                  <c:v>59700</c:v>
                </c:pt>
                <c:pt idx="3">
                  <c:v>35300</c:v>
                </c:pt>
                <c:pt idx="4">
                  <c:v>34878</c:v>
                </c:pt>
                <c:pt idx="5">
                  <c:v>50107</c:v>
                </c:pt>
                <c:pt idx="6">
                  <c:v>49027</c:v>
                </c:pt>
                <c:pt idx="7">
                  <c:v>49000</c:v>
                </c:pt>
                <c:pt idx="8">
                  <c:v>50900</c:v>
                </c:pt>
                <c:pt idx="9">
                  <c:v>47000</c:v>
                </c:pt>
              </c:numCache>
            </c:numRef>
          </c:val>
          <c:smooth val="0"/>
        </c:ser>
        <c:ser>
          <c:idx val="1"/>
          <c:order val="1"/>
          <c:tx>
            <c:strRef>
              <c:f>'TAB2.0 Accomplishment Graphs'!$S$23</c:f>
              <c:strCache>
                <c:ptCount val="1"/>
                <c:pt idx="0">
                  <c:v>TOTALSold Volume</c:v>
                </c:pt>
              </c:strCache>
            </c:strRef>
          </c:tx>
          <c:marker>
            <c:symbol val="none"/>
          </c:marker>
          <c:cat>
            <c:strRef>
              <c:f>'TAB2.0 Accomplishment Graphs'!$Q$24:$Q$43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Graphs'!$S$24:$S$43</c:f>
              <c:numCache>
                <c:formatCode>#,##0_);[Red]\(#,##0\)</c:formatCode>
                <c:ptCount val="10"/>
                <c:pt idx="0">
                  <c:v>76917.919999999998</c:v>
                </c:pt>
                <c:pt idx="1">
                  <c:v>50820</c:v>
                </c:pt>
                <c:pt idx="2">
                  <c:v>25189</c:v>
                </c:pt>
                <c:pt idx="3">
                  <c:v>27282</c:v>
                </c:pt>
                <c:pt idx="4">
                  <c:v>38471</c:v>
                </c:pt>
                <c:pt idx="5">
                  <c:v>47747</c:v>
                </c:pt>
                <c:pt idx="6">
                  <c:v>50716</c:v>
                </c:pt>
                <c:pt idx="7">
                  <c:v>41281</c:v>
                </c:pt>
                <c:pt idx="8">
                  <c:v>33096</c:v>
                </c:pt>
                <c:pt idx="9">
                  <c:v>36088</c:v>
                </c:pt>
              </c:numCache>
            </c:numRef>
          </c:val>
          <c:smooth val="0"/>
        </c:ser>
        <c:ser>
          <c:idx val="2"/>
          <c:order val="2"/>
          <c:tx>
            <c:strRef>
              <c:f>'TAB2.0 Accomplishment Graphs'!$T$23</c:f>
              <c:strCache>
                <c:ptCount val="1"/>
                <c:pt idx="0">
                  <c:v>TOTAL Harvested Volume (MBF)</c:v>
                </c:pt>
              </c:strCache>
            </c:strRef>
          </c:tx>
          <c:marker>
            <c:symbol val="none"/>
          </c:marker>
          <c:cat>
            <c:strRef>
              <c:f>'TAB2.0 Accomplishment Graphs'!$Q$24:$Q$43</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'TAB2.0 Accomplishment Graphs'!$T$24:$T$43</c:f>
              <c:numCache>
                <c:formatCode>#,##0_);[Red]\(#,##0\)</c:formatCode>
                <c:ptCount val="10"/>
                <c:pt idx="0">
                  <c:v>72990.009999999995</c:v>
                </c:pt>
                <c:pt idx="1">
                  <c:v>57181.14</c:v>
                </c:pt>
                <c:pt idx="2">
                  <c:v>52225</c:v>
                </c:pt>
                <c:pt idx="3">
                  <c:v>57690.64</c:v>
                </c:pt>
                <c:pt idx="4">
                  <c:v>41165</c:v>
                </c:pt>
                <c:pt idx="5">
                  <c:v>35156</c:v>
                </c:pt>
                <c:pt idx="6">
                  <c:v>43288.14</c:v>
                </c:pt>
                <c:pt idx="7">
                  <c:v>44428.3</c:v>
                </c:pt>
                <c:pt idx="8">
                  <c:v>49880.4</c:v>
                </c:pt>
                <c:pt idx="9">
                  <c:v>58239.61</c:v>
                </c:pt>
              </c:numCache>
            </c:numRef>
          </c:val>
          <c:smooth val="0"/>
        </c:ser>
        <c:dLbls>
          <c:showLegendKey val="0"/>
          <c:showVal val="0"/>
          <c:showCatName val="0"/>
          <c:showSerName val="0"/>
          <c:showPercent val="0"/>
          <c:showBubbleSize val="0"/>
        </c:dLbls>
        <c:smooth val="0"/>
        <c:axId val="471299048"/>
        <c:axId val="471299440"/>
      </c:lineChart>
      <c:catAx>
        <c:axId val="471299048"/>
        <c:scaling>
          <c:orientation val="minMax"/>
        </c:scaling>
        <c:delete val="0"/>
        <c:axPos val="b"/>
        <c:numFmt formatCode="General" sourceLinked="1"/>
        <c:majorTickMark val="out"/>
        <c:minorTickMark val="none"/>
        <c:tickLblPos val="nextTo"/>
        <c:crossAx val="471299440"/>
        <c:crosses val="autoZero"/>
        <c:auto val="1"/>
        <c:lblAlgn val="ctr"/>
        <c:lblOffset val="100"/>
        <c:noMultiLvlLbl val="0"/>
      </c:catAx>
      <c:valAx>
        <c:axId val="471299440"/>
        <c:scaling>
          <c:orientation val="minMax"/>
        </c:scaling>
        <c:delete val="0"/>
        <c:axPos val="l"/>
        <c:majorGridlines>
          <c:spPr>
            <a:ln>
              <a:solidFill>
                <a:schemeClr val="accent1"/>
              </a:solidFill>
            </a:ln>
          </c:spPr>
        </c:majorGridlines>
        <c:numFmt formatCode="#,##0" sourceLinked="1"/>
        <c:majorTickMark val="out"/>
        <c:minorTickMark val="none"/>
        <c:tickLblPos val="nextTo"/>
        <c:crossAx val="471299048"/>
        <c:crosses val="autoZero"/>
        <c:crossBetween val="between"/>
      </c:valAx>
    </c:plotArea>
    <c:legend>
      <c:legendPos val="r"/>
      <c:layout>
        <c:manualLayout>
          <c:xMode val="edge"/>
          <c:yMode val="edge"/>
          <c:x val="0.72439519751931158"/>
          <c:y val="3.3557067598934877E-2"/>
          <c:w val="0.25512118781528453"/>
          <c:h val="0.18791957855403532"/>
        </c:manualLayout>
      </c:layout>
      <c:overlay val="1"/>
      <c:spPr>
        <a:solidFill>
          <a:schemeClr val="bg1">
            <a:lumMod val="85000"/>
          </a:schemeClr>
        </a:solidFill>
      </c:spPr>
      <c:txPr>
        <a:bodyPr/>
        <a:lstStyle/>
        <a:p>
          <a:pPr>
            <a:defRPr sz="90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zoomScale="94" workbookViewId="0"/>
  </sheetViews>
  <pageMargins left="0.75" right="0.75" top="1" bottom="1.25" header="0.5" footer="0.5"/>
  <pageSetup orientation="landscape" r:id="rId1"/>
  <headerFooter alignWithMargins="0">
    <oddFooter xml:space="preserve">&amp;LOregon Department of Forestry
State Forests Division
November 2008&amp;CGraph relects volume from Common School and Board of Forestry lands&amp;R&amp;F
Data Taken from TRAS
Volume = million board feet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4" workbookViewId="0"/>
  </sheetViews>
  <pageMargins left="0.75" right="0.75" top="1" bottom="1.25" header="0.5" footer="0.5"/>
  <pageSetup orientation="landscape" r:id="rId1"/>
  <headerFooter alignWithMargins="0">
    <oddFooter xml:space="preserve">&amp;LOregon Department of Forestry
State Forests Division
November 2008&amp;CGraph relects volume from Common School and Board of Forestry lands&amp;R&amp;F
Data Taken from TRAS
Volume = million board feet
</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160020</xdr:colOff>
      <xdr:row>0</xdr:row>
      <xdr:rowOff>118110</xdr:rowOff>
    </xdr:from>
    <xdr:to>
      <xdr:col>25</xdr:col>
      <xdr:colOff>266700</xdr:colOff>
      <xdr:row>28</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77372</xdr:colOff>
      <xdr:row>0</xdr:row>
      <xdr:rowOff>77372</xdr:rowOff>
    </xdr:from>
    <xdr:to>
      <xdr:col>14</xdr:col>
      <xdr:colOff>7406640</xdr:colOff>
      <xdr:row>21</xdr:row>
      <xdr:rowOff>168812</xdr:rowOff>
    </xdr:to>
    <xdr:graphicFrame macro="">
      <xdr:nvGraphicFramePr>
        <xdr:cNvPr id="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105508</xdr:colOff>
      <xdr:row>22</xdr:row>
      <xdr:rowOff>77372</xdr:rowOff>
    </xdr:from>
    <xdr:to>
      <xdr:col>14</xdr:col>
      <xdr:colOff>7406640</xdr:colOff>
      <xdr:row>43</xdr:row>
      <xdr:rowOff>119575</xdr:rowOff>
    </xdr:to>
    <xdr:graphicFrame macro="">
      <xdr:nvGraphicFramePr>
        <xdr:cNvPr id="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77372</xdr:colOff>
      <xdr:row>44</xdr:row>
      <xdr:rowOff>77372</xdr:rowOff>
    </xdr:from>
    <xdr:to>
      <xdr:col>14</xdr:col>
      <xdr:colOff>7406640</xdr:colOff>
      <xdr:row>65</xdr:row>
      <xdr:rowOff>147711</xdr:rowOff>
    </xdr:to>
    <xdr:graphicFrame macro="">
      <xdr:nvGraphicFramePr>
        <xdr:cNvPr id="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112542</xdr:colOff>
      <xdr:row>66</xdr:row>
      <xdr:rowOff>77372</xdr:rowOff>
    </xdr:from>
    <xdr:to>
      <xdr:col>14</xdr:col>
      <xdr:colOff>7406640</xdr:colOff>
      <xdr:row>87</xdr:row>
      <xdr:rowOff>105508</xdr:rowOff>
    </xdr:to>
    <xdr:graphicFrame macro="">
      <xdr:nvGraphicFramePr>
        <xdr:cNvPr id="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77372</xdr:colOff>
      <xdr:row>88</xdr:row>
      <xdr:rowOff>77372</xdr:rowOff>
    </xdr:from>
    <xdr:to>
      <xdr:col>14</xdr:col>
      <xdr:colOff>7406640</xdr:colOff>
      <xdr:row>109</xdr:row>
      <xdr:rowOff>119575</xdr:rowOff>
    </xdr:to>
    <xdr:graphicFrame macro="">
      <xdr:nvGraphicFramePr>
        <xdr:cNvPr id="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84406</xdr:colOff>
      <xdr:row>110</xdr:row>
      <xdr:rowOff>77372</xdr:rowOff>
    </xdr:from>
    <xdr:to>
      <xdr:col>14</xdr:col>
      <xdr:colOff>7406640</xdr:colOff>
      <xdr:row>131</xdr:row>
      <xdr:rowOff>105508</xdr:rowOff>
    </xdr:to>
    <xdr:graphicFrame macro="">
      <xdr:nvGraphicFramePr>
        <xdr:cNvPr id="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105508</xdr:colOff>
      <xdr:row>132</xdr:row>
      <xdr:rowOff>77372</xdr:rowOff>
    </xdr:from>
    <xdr:to>
      <xdr:col>14</xdr:col>
      <xdr:colOff>7406640</xdr:colOff>
      <xdr:row>153</xdr:row>
      <xdr:rowOff>147711</xdr:rowOff>
    </xdr:to>
    <xdr:graphicFrame macro="">
      <xdr:nvGraphicFramePr>
        <xdr:cNvPr id="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70338</xdr:colOff>
      <xdr:row>154</xdr:row>
      <xdr:rowOff>77372</xdr:rowOff>
    </xdr:from>
    <xdr:to>
      <xdr:col>14</xdr:col>
      <xdr:colOff>7406640</xdr:colOff>
      <xdr:row>175</xdr:row>
      <xdr:rowOff>126609</xdr:rowOff>
    </xdr:to>
    <xdr:graphicFrame macro="">
      <xdr:nvGraphicFramePr>
        <xdr:cNvPr id="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49237</xdr:colOff>
      <xdr:row>176</xdr:row>
      <xdr:rowOff>77372</xdr:rowOff>
    </xdr:from>
    <xdr:to>
      <xdr:col>14</xdr:col>
      <xdr:colOff>7406640</xdr:colOff>
      <xdr:row>197</xdr:row>
      <xdr:rowOff>147711</xdr:rowOff>
    </xdr:to>
    <xdr:graphicFrame macro="">
      <xdr:nvGraphicFramePr>
        <xdr:cNvPr id="10"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56271</xdr:colOff>
      <xdr:row>199</xdr:row>
      <xdr:rowOff>77372</xdr:rowOff>
    </xdr:from>
    <xdr:to>
      <xdr:col>14</xdr:col>
      <xdr:colOff>7406640</xdr:colOff>
      <xdr:row>220</xdr:row>
      <xdr:rowOff>196948</xdr:rowOff>
    </xdr:to>
    <xdr:graphicFrame macro="">
      <xdr:nvGraphicFramePr>
        <xdr:cNvPr id="1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77372</xdr:colOff>
      <xdr:row>221</xdr:row>
      <xdr:rowOff>77372</xdr:rowOff>
    </xdr:from>
    <xdr:to>
      <xdr:col>14</xdr:col>
      <xdr:colOff>7406640</xdr:colOff>
      <xdr:row>242</xdr:row>
      <xdr:rowOff>154745</xdr:rowOff>
    </xdr:to>
    <xdr:graphicFrame macro="">
      <xdr:nvGraphicFramePr>
        <xdr:cNvPr id="1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77372</xdr:colOff>
      <xdr:row>243</xdr:row>
      <xdr:rowOff>77372</xdr:rowOff>
    </xdr:from>
    <xdr:to>
      <xdr:col>14</xdr:col>
      <xdr:colOff>7406640</xdr:colOff>
      <xdr:row>264</xdr:row>
      <xdr:rowOff>119575</xdr:rowOff>
    </xdr:to>
    <xdr:graphicFrame macro="">
      <xdr:nvGraphicFramePr>
        <xdr:cNvPr id="13"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84406</xdr:colOff>
      <xdr:row>265</xdr:row>
      <xdr:rowOff>77372</xdr:rowOff>
    </xdr:from>
    <xdr:to>
      <xdr:col>14</xdr:col>
      <xdr:colOff>7406640</xdr:colOff>
      <xdr:row>286</xdr:row>
      <xdr:rowOff>119575</xdr:rowOff>
    </xdr:to>
    <xdr:graphicFrame macro="">
      <xdr:nvGraphicFramePr>
        <xdr:cNvPr id="14"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152400</xdr:colOff>
      <xdr:row>1</xdr:row>
      <xdr:rowOff>163830</xdr:rowOff>
    </xdr:from>
    <xdr:to>
      <xdr:col>17</xdr:col>
      <xdr:colOff>243840</xdr:colOff>
      <xdr:row>34</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0" y="0"/>
    <xdr:ext cx="8663126" cy="627355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3126" cy="627355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61400" cy="62738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0</xdr:col>
      <xdr:colOff>129540</xdr:colOff>
      <xdr:row>15</xdr:row>
      <xdr:rowOff>129540</xdr:rowOff>
    </xdr:from>
    <xdr:to>
      <xdr:col>6</xdr:col>
      <xdr:colOff>601980</xdr:colOff>
      <xdr:row>18</xdr:row>
      <xdr:rowOff>106680</xdr:rowOff>
    </xdr:to>
    <xdr:sp macro="" textlink="">
      <xdr:nvSpPr>
        <xdr:cNvPr id="2" name="TextBox 1"/>
        <xdr:cNvSpPr txBox="1"/>
      </xdr:nvSpPr>
      <xdr:spPr>
        <a:xfrm>
          <a:off x="129540" y="2743200"/>
          <a:ext cx="5814060" cy="48006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a:t>
          </a:r>
          <a:r>
            <a:rPr lang="en-US" sz="1100" b="1" u="sng" baseline="0"/>
            <a:t> DATA ENTRY THIS PAGE</a:t>
          </a:r>
          <a:r>
            <a:rPr lang="en-US" sz="1100" baseline="0"/>
            <a:t>.  </a:t>
          </a:r>
          <a:r>
            <a:rPr lang="en-US" sz="1000" baseline="0"/>
            <a:t>THIS IS A PIVOT TABLE BASED OFF OF TAB 3.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60340" cy="5577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0.42675</cdr:x>
      <cdr:y>0.9455</cdr:y>
    </cdr:from>
    <cdr:to>
      <cdr:x>0.58475</cdr:x>
      <cdr:y>0.98625</cdr:y>
    </cdr:to>
    <cdr:sp macro="" textlink="">
      <cdr:nvSpPr>
        <cdr:cNvPr id="1025" name="Text Box 1"/>
        <cdr:cNvSpPr txBox="1">
          <a:spLocks xmlns:a="http://schemas.openxmlformats.org/drawingml/2006/main" noChangeArrowheads="1"/>
        </cdr:cNvSpPr>
      </cdr:nvSpPr>
      <cdr:spPr bwMode="auto">
        <a:xfrm xmlns:a="http://schemas.openxmlformats.org/drawingml/2006/main">
          <a:off x="3664525" y="5294650"/>
          <a:ext cx="1353814" cy="2370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Fiscal Year</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60340" cy="5577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0.426</cdr:x>
      <cdr:y>0.94675</cdr:y>
    </cdr:from>
    <cdr:to>
      <cdr:x>0.58375</cdr:x>
      <cdr:y>0.98675</cdr:y>
    </cdr:to>
    <cdr:sp macro="" textlink="">
      <cdr:nvSpPr>
        <cdr:cNvPr id="1025" name="Text Box 1"/>
        <cdr:cNvSpPr txBox="1">
          <a:spLocks xmlns:a="http://schemas.openxmlformats.org/drawingml/2006/main" noChangeArrowheads="1"/>
        </cdr:cNvSpPr>
      </cdr:nvSpPr>
      <cdr:spPr bwMode="auto">
        <a:xfrm xmlns:a="http://schemas.openxmlformats.org/drawingml/2006/main">
          <a:off x="3664525" y="5294650"/>
          <a:ext cx="1353814" cy="2370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Fiscal Year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37516</xdr:colOff>
      <xdr:row>18</xdr:row>
      <xdr:rowOff>129540</xdr:rowOff>
    </xdr:from>
    <xdr:to>
      <xdr:col>17</xdr:col>
      <xdr:colOff>91440</xdr:colOff>
      <xdr:row>53</xdr:row>
      <xdr:rowOff>99060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426720</xdr:colOff>
      <xdr:row>0</xdr:row>
      <xdr:rowOff>274320</xdr:rowOff>
    </xdr:from>
    <xdr:to>
      <xdr:col>14</xdr:col>
      <xdr:colOff>403860</xdr:colOff>
      <xdr:row>5</xdr:row>
      <xdr:rowOff>137160</xdr:rowOff>
    </xdr:to>
    <xdr:sp macro="" textlink="">
      <xdr:nvSpPr>
        <xdr:cNvPr id="3" name="TextBox 2"/>
        <xdr:cNvSpPr txBox="1"/>
      </xdr:nvSpPr>
      <xdr:spPr>
        <a:xfrm>
          <a:off x="8572500" y="274320"/>
          <a:ext cx="2415540" cy="124206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a:t>
          </a:r>
          <a:r>
            <a:rPr lang="en-US" sz="1100" b="1" u="sng" baseline="0"/>
            <a:t> DATA ENTRY THIS PAGE</a:t>
          </a:r>
          <a:r>
            <a:rPr lang="en-US" sz="1100" baseline="0"/>
            <a:t>.  FORMULAS WILL NEED TO BE COPIED BUT NOT PASTED AS THE RANGE IS NOT CONDUSIVE TO PASTING.  FORMULAS NEED TO BE INDIVIUALLY ENTERED.</a:t>
          </a:r>
          <a:endParaRPr 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0.04675</cdr:x>
      <cdr:y>0.86757</cdr:y>
    </cdr:from>
    <cdr:to>
      <cdr:x>0.08063</cdr:x>
      <cdr:y>0.9295</cdr:y>
    </cdr:to>
    <cdr:sp macro="" textlink="">
      <cdr:nvSpPr>
        <cdr:cNvPr id="3" name="TextBox 2"/>
        <cdr:cNvSpPr txBox="1"/>
      </cdr:nvSpPr>
      <cdr:spPr>
        <a:xfrm xmlns:a="http://schemas.openxmlformats.org/drawingml/2006/main">
          <a:off x="473024" y="3736145"/>
          <a:ext cx="3429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111368</xdr:colOff>
      <xdr:row>8</xdr:row>
      <xdr:rowOff>3515</xdr:rowOff>
    </xdr:from>
    <xdr:to>
      <xdr:col>11</xdr:col>
      <xdr:colOff>814752</xdr:colOff>
      <xdr:row>26</xdr:row>
      <xdr:rowOff>10551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xdr:colOff>
      <xdr:row>26</xdr:row>
      <xdr:rowOff>135402</xdr:rowOff>
    </xdr:from>
    <xdr:to>
      <xdr:col>11</xdr:col>
      <xdr:colOff>783101</xdr:colOff>
      <xdr:row>46</xdr:row>
      <xdr:rowOff>22860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99060</xdr:colOff>
      <xdr:row>0</xdr:row>
      <xdr:rowOff>76200</xdr:rowOff>
    </xdr:from>
    <xdr:to>
      <xdr:col>9</xdr:col>
      <xdr:colOff>670560</xdr:colOff>
      <xdr:row>1</xdr:row>
      <xdr:rowOff>388620</xdr:rowOff>
    </xdr:to>
    <xdr:sp macro="" textlink="">
      <xdr:nvSpPr>
        <xdr:cNvPr id="6" name="TextBox 5"/>
        <xdr:cNvSpPr txBox="1"/>
      </xdr:nvSpPr>
      <xdr:spPr>
        <a:xfrm>
          <a:off x="2087880" y="76200"/>
          <a:ext cx="5814060" cy="48006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a:t>
          </a:r>
          <a:r>
            <a:rPr lang="en-US" sz="1100" b="1" u="sng" baseline="0"/>
            <a:t> DATA ENTRY THIS PAGE</a:t>
          </a:r>
          <a:r>
            <a:rPr lang="en-US" sz="1100" baseline="0"/>
            <a:t>.  </a:t>
          </a:r>
          <a:r>
            <a:rPr lang="en-US" sz="1000" baseline="0"/>
            <a:t>FORMULAS WILL NEED TO BE COPIED BUT NOT PASTED AS THE RANGE IS NOT CONDUSIVE TO PASTING.  FORMULAS NEED TO BE INDIVIUALLY ENTERED.</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152400</xdr:colOff>
      <xdr:row>1</xdr:row>
      <xdr:rowOff>114300</xdr:rowOff>
    </xdr:from>
    <xdr:to>
      <xdr:col>17</xdr:col>
      <xdr:colOff>403860</xdr:colOff>
      <xdr:row>34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Kelly Brown" refreshedDate="42214.42415486111" createdVersion="5" refreshedVersion="5" minRefreshableVersion="3" recordCount="263">
  <cacheSource type="worksheet">
    <worksheetSource ref="B1:L265" sheet="TAB2.0 Accomplishment Graphs"/>
  </cacheSource>
  <cacheFields count="13">
    <cacheField name="District" numFmtId="49">
      <sharedItems count="13">
        <s v="AT"/>
        <s v="District"/>
        <s v="TL"/>
        <s v="FG"/>
        <s v="NC"/>
        <s v="WO"/>
        <s v="WL"/>
        <s v="CS"/>
        <s v="GP"/>
        <s v="KL"/>
        <s v="BIG3"/>
        <s v="NEW FMP DIST"/>
        <s v="GP&amp;CS"/>
      </sharedItems>
    </cacheField>
    <cacheField name="Fiscal Year" numFmtId="49">
      <sharedItems count="22">
        <s v="1996"/>
        <s v="1997"/>
        <s v="1998"/>
        <s v="1999"/>
        <s v="2000"/>
        <s v="2001"/>
        <s v="2002"/>
        <s v="2003"/>
        <s v="2004"/>
        <s v="2005"/>
        <s v="2006"/>
        <s v="2007"/>
        <s v="2008"/>
        <s v="2009"/>
        <s v="2010"/>
        <s v="2011"/>
        <s v="2012"/>
        <s v="2013"/>
        <s v="2014"/>
        <s v="2015"/>
        <s v="2016"/>
        <s v="Fiscal Year"/>
      </sharedItems>
    </cacheField>
    <cacheField name="TOTAL AOP Planned Volume" numFmtId="38">
      <sharedItems containsMixedTypes="1" containsNumber="1" minValue="0" maxValue="286312"/>
    </cacheField>
    <cacheField name="BOF AOP Planned Volume" numFmtId="38">
      <sharedItems containsMixedTypes="1" containsNumber="1" minValue="0" maxValue="277865.2"/>
    </cacheField>
    <cacheField name="CSL AOP Planned Volume" numFmtId="38">
      <sharedItems containsMixedTypes="1" containsNumber="1" minValue="0" maxValue="37224"/>
    </cacheField>
    <cacheField name="TOTALSold Volume" numFmtId="38">
      <sharedItems containsMixedTypes="1" containsNumber="1" minValue="0" maxValue="268458"/>
    </cacheField>
    <cacheField name="BOF Sold Volume" numFmtId="38">
      <sharedItems containsBlank="1" containsMixedTypes="1" containsNumber="1" minValue="0" maxValue="265789.59999999998"/>
    </cacheField>
    <cacheField name="CSL Sold Volume" numFmtId="38">
      <sharedItems containsBlank="1" containsMixedTypes="1" containsNumber="1" minValue="0" maxValue="45989.84"/>
    </cacheField>
    <cacheField name="TOTAL Harvested Volume (MBF)" numFmtId="38">
      <sharedItems containsMixedTypes="1" containsNumber="1" minValue="0" maxValue="272490.2"/>
    </cacheField>
    <cacheField name="Harvested Vol. Vol. BOF" numFmtId="38">
      <sharedItems containsBlank="1" containsMixedTypes="1" containsNumber="1" minValue="0" maxValue="269448.24"/>
    </cacheField>
    <cacheField name="Harvested Vol. Vol. CSL" numFmtId="38">
      <sharedItems containsBlank="1" containsMixedTypes="1" containsNumber="1" minValue="0" maxValue="43663.69"/>
    </cacheField>
    <cacheField name="AOPvsHarv" numFmtId="0" formula="('TOTAL Harvested Volume (MBF)'-'TOTAL AOP Planned Volume')/'TOTAL AOP Planned Volume'" databaseField="0"/>
    <cacheField name="SoldVsHarv" numFmtId="0" formula="('TOTAL Harvested Volume (MBF)'-'TOTALSold Volume')/'TOTALSold Volume'"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elly Brown" refreshedDate="42220.247633680556" createdVersion="5" refreshedVersion="5" minRefreshableVersion="3" recordCount="33">
  <cacheSource type="worksheet">
    <worksheetSource ref="B2:BU35" sheet="TAB3.0 VOL Historical by County"/>
  </cacheSource>
  <cacheFields count="72">
    <cacheField name="SF" numFmtId="0">
      <sharedItems containsBlank="1" count="4">
        <m/>
        <s v="CSF"/>
        <s v="ESF"/>
        <s v="TSF"/>
      </sharedItems>
    </cacheField>
    <cacheField name="Area" numFmtId="0">
      <sharedItems/>
    </cacheField>
    <cacheField name="Dist." numFmtId="0">
      <sharedItems count="11">
        <s v="CO"/>
        <s v="WO"/>
        <s v="NC"/>
        <s v="AT"/>
        <s v="FG"/>
        <s v="CS"/>
        <s v="GP"/>
        <s v="KL"/>
        <s v="WL"/>
        <s v="TL/FG"/>
        <s v="NE"/>
      </sharedItems>
    </cacheField>
    <cacheField name="No." numFmtId="49">
      <sharedItems/>
    </cacheField>
    <cacheField name="County" numFmtId="0">
      <sharedItems count="33">
        <s v="BAKER"/>
        <s v="BENTON"/>
        <s v="CLACKAMAS"/>
        <s v="CLATSOP"/>
        <s v="COLUMBIA"/>
        <s v="COOS"/>
        <s v="CROOK"/>
        <s v="CURRY"/>
        <s v="DESCHUTES"/>
        <s v="DOUGLAS"/>
        <s v="GRANT"/>
        <s v="HARNEY"/>
        <s v="HOOD RIVER"/>
        <s v="JACKSON"/>
        <s v="JEFFERSON"/>
        <s v="JOSEPHINE"/>
        <s v="KLAMATH"/>
        <s v="LAKE"/>
        <s v="LANE"/>
        <s v="LINCOLN"/>
        <s v="LINN"/>
        <s v="MALHEUR"/>
        <s v="MARION"/>
        <s v="MORROW"/>
        <s v="POLK"/>
        <s v="TILLAMOOK"/>
        <s v="UMATILLA"/>
        <s v="UNION"/>
        <s v="WALLOWA"/>
        <s v="WASCO"/>
        <s v="WASHINGTON"/>
        <s v="WHEELER"/>
        <s v="YAMHILL"/>
      </sharedItems>
    </cacheField>
    <cacheField name="1949" numFmtId="3">
      <sharedItems containsString="0" containsBlank="1" containsNumber="1" containsInteger="1" minValue="0" maxValue="630327"/>
    </cacheField>
    <cacheField name="1950" numFmtId="3">
      <sharedItems containsString="0" containsBlank="1" containsNumber="1" containsInteger="1" minValue="36" maxValue="707702"/>
    </cacheField>
    <cacheField name="1951" numFmtId="3">
      <sharedItems containsString="0" containsBlank="1" containsNumber="1" containsInteger="1" minValue="273" maxValue="594651"/>
    </cacheField>
    <cacheField name="1952" numFmtId="3">
      <sharedItems containsString="0" containsBlank="1" containsNumber="1" containsInteger="1" minValue="0" maxValue="543091"/>
    </cacheField>
    <cacheField name="1953" numFmtId="3">
      <sharedItems containsString="0" containsBlank="1" containsNumber="1" containsInteger="1" minValue="0" maxValue="452075"/>
    </cacheField>
    <cacheField name="1954" numFmtId="3">
      <sharedItems containsString="0" containsBlank="1" containsNumber="1" containsInteger="1" minValue="105" maxValue="406126"/>
    </cacheField>
    <cacheField name="1955" numFmtId="3">
      <sharedItems containsString="0" containsBlank="1" containsNumber="1" containsInteger="1" minValue="221" maxValue="370907"/>
    </cacheField>
    <cacheField name="1956" numFmtId="3">
      <sharedItems containsBlank="1" containsMixedTypes="1" containsNumber="1" containsInteger="1" minValue="53" maxValue="285616"/>
    </cacheField>
    <cacheField name="1957" numFmtId="3">
      <sharedItems containsString="0" containsBlank="1" containsNumber="1" containsInteger="1" minValue="15" maxValue="223222"/>
    </cacheField>
    <cacheField name="1958" numFmtId="3">
      <sharedItems containsString="0" containsBlank="1" containsNumber="1" containsInteger="1" minValue="9" maxValue="74663"/>
    </cacheField>
    <cacheField name="1959" numFmtId="3">
      <sharedItems containsString="0" containsBlank="1" containsNumber="1" containsInteger="1" minValue="60" maxValue="61791"/>
    </cacheField>
    <cacheField name="1960" numFmtId="3">
      <sharedItems containsString="0" containsBlank="1" containsNumber="1" containsInteger="1" minValue="62" maxValue="73053"/>
    </cacheField>
    <cacheField name="1961" numFmtId="3">
      <sharedItems containsString="0" containsBlank="1" containsNumber="1" containsInteger="1" minValue="18" maxValue="55903"/>
    </cacheField>
    <cacheField name="1962" numFmtId="3">
      <sharedItems containsString="0" containsBlank="1" containsNumber="1" containsInteger="1" minValue="3" maxValue="51474"/>
    </cacheField>
    <cacheField name="1963" numFmtId="3">
      <sharedItems containsString="0" containsBlank="1" containsNumber="1" containsInteger="1" minValue="25" maxValue="63603"/>
    </cacheField>
    <cacheField name="1964" numFmtId="3">
      <sharedItems containsString="0" containsBlank="1" containsNumber="1" containsInteger="1" minValue="7" maxValue="61008"/>
    </cacheField>
    <cacheField name="1965" numFmtId="3">
      <sharedItems containsString="0" containsBlank="1" containsNumber="1" containsInteger="1" minValue="86" maxValue="62462"/>
    </cacheField>
    <cacheField name="1966" numFmtId="3">
      <sharedItems containsString="0" containsBlank="1" containsNumber="1" containsInteger="1" minValue="117" maxValue="52446"/>
    </cacheField>
    <cacheField name="1967" numFmtId="3">
      <sharedItems containsString="0" containsBlank="1" containsNumber="1" containsInteger="1" minValue="12" maxValue="33182"/>
    </cacheField>
    <cacheField name="1968" numFmtId="3">
      <sharedItems containsString="0" containsBlank="1" containsNumber="1" minValue="5" maxValue="49745.279999999999"/>
    </cacheField>
    <cacheField name="1969" numFmtId="3">
      <sharedItems containsString="0" containsBlank="1" containsNumber="1" minValue="15" maxValue="43504.87"/>
    </cacheField>
    <cacheField name="1970" numFmtId="3">
      <sharedItems containsString="0" containsBlank="1" containsNumber="1" minValue="4" maxValue="41137.279999999999"/>
    </cacheField>
    <cacheField name="1971" numFmtId="3">
      <sharedItems containsString="0" containsBlank="1" containsNumber="1" minValue="324.26" maxValue="28260.04"/>
    </cacheField>
    <cacheField name="1972" numFmtId="3">
      <sharedItems containsSemiMixedTypes="0" containsString="0" containsNumber="1" containsInteger="1" minValue="0" maxValue="54310"/>
    </cacheField>
    <cacheField name="1973" numFmtId="3">
      <sharedItems containsString="0" containsBlank="1" containsNumber="1" containsInteger="1" minValue="75" maxValue="62988"/>
    </cacheField>
    <cacheField name="1974" numFmtId="3">
      <sharedItems containsString="0" containsBlank="1" containsNumber="1" containsInteger="1" minValue="313" maxValue="61883"/>
    </cacheField>
    <cacheField name="1975" numFmtId="3">
      <sharedItems containsString="0" containsBlank="1" containsNumber="1" minValue="7" maxValue="35636.97"/>
    </cacheField>
    <cacheField name="1976" numFmtId="3">
      <sharedItems containsString="0" containsBlank="1" containsNumber="1" minValue="13.39" maxValue="69292.25"/>
    </cacheField>
    <cacheField name="1977" numFmtId="3">
      <sharedItems containsString="0" containsBlank="1" containsNumber="1" minValue="40.92" maxValue="46125.15"/>
    </cacheField>
    <cacheField name="1978" numFmtId="3">
      <sharedItems containsString="0" containsBlank="1" containsNumber="1" minValue="788.36" maxValue="64904.12"/>
    </cacheField>
    <cacheField name="1979" numFmtId="3">
      <sharedItems containsString="0" containsBlank="1" containsNumber="1" minValue="110.91" maxValue="72413.48"/>
    </cacheField>
    <cacheField name="1980" numFmtId="3">
      <sharedItems containsString="0" containsBlank="1" containsNumber="1" minValue="1" maxValue="60582.9"/>
    </cacheField>
    <cacheField name="1981" numFmtId="3">
      <sharedItems containsString="0" containsBlank="1" containsNumber="1" minValue="7.8" maxValue="71440.36"/>
    </cacheField>
    <cacheField name="1982" numFmtId="3">
      <sharedItems containsString="0" containsBlank="1" containsNumber="1" minValue="0" maxValue="57767.21"/>
    </cacheField>
    <cacheField name="1983" numFmtId="3">
      <sharedItems containsString="0" containsBlank="1" containsNumber="1" minValue="58.93" maxValue="75769.952000000005"/>
    </cacheField>
    <cacheField name="1984" numFmtId="3">
      <sharedItems containsString="0" containsBlank="1" containsNumber="1" containsInteger="1" minValue="1049" maxValue="97982"/>
    </cacheField>
    <cacheField name="1985" numFmtId="3">
      <sharedItems containsString="0" containsBlank="1" containsNumber="1" containsInteger="1" minValue="12" maxValue="84438"/>
    </cacheField>
    <cacheField name="1986" numFmtId="3">
      <sharedItems containsString="0" containsBlank="1" containsNumber="1" containsInteger="1" minValue="210" maxValue="45498"/>
    </cacheField>
    <cacheField name="1987" numFmtId="3">
      <sharedItems containsString="0" containsBlank="1" containsNumber="1" containsInteger="1" minValue="1438" maxValue="45094"/>
    </cacheField>
    <cacheField name="1988" numFmtId="3">
      <sharedItems containsString="0" containsBlank="1" containsNumber="1" containsInteger="1" minValue="17" maxValue="90369"/>
    </cacheField>
    <cacheField name="1989" numFmtId="3">
      <sharedItems containsString="0" containsBlank="1" containsNumber="1" containsInteger="1" minValue="61" maxValue="37010"/>
    </cacheField>
    <cacheField name="1990" numFmtId="3">
      <sharedItems containsString="0" containsBlank="1" containsNumber="1" containsInteger="1" minValue="7" maxValue="23698"/>
    </cacheField>
    <cacheField name="1991" numFmtId="3">
      <sharedItems containsString="0" containsBlank="1" containsNumber="1" containsInteger="1" minValue="14" maxValue="24641"/>
    </cacheField>
    <cacheField name="1992" numFmtId="3">
      <sharedItems containsString="0" containsBlank="1" containsNumber="1" containsInteger="1" minValue="1167" maxValue="27803"/>
    </cacheField>
    <cacheField name="1993" numFmtId="3">
      <sharedItems containsString="0" containsBlank="1" containsNumber="1" containsInteger="1" minValue="5" maxValue="27527"/>
    </cacheField>
    <cacheField name="1994" numFmtId="3">
      <sharedItems containsString="0" containsBlank="1" containsNumber="1" minValue="1.87" maxValue="41247"/>
    </cacheField>
    <cacheField name="1995" numFmtId="3">
      <sharedItems containsString="0" containsBlank="1" containsNumber="1" containsInteger="1" minValue="140" maxValue="40021"/>
    </cacheField>
    <cacheField name="1996" numFmtId="3">
      <sharedItems containsString="0" containsBlank="1" containsNumber="1" containsInteger="1" minValue="1" maxValue="32635"/>
    </cacheField>
    <cacheField name="1997" numFmtId="3">
      <sharedItems containsString="0" containsBlank="1" containsNumber="1" minValue="42" maxValue="56150.16"/>
    </cacheField>
    <cacheField name="1998" numFmtId="3">
      <sharedItems containsString="0" containsBlank="1" containsNumber="1" minValue="146" maxValue="36524.94"/>
    </cacheField>
    <cacheField name="1999" numFmtId="3">
      <sharedItems containsString="0" containsBlank="1" containsNumber="1" minValue="147" maxValue="51917"/>
    </cacheField>
    <cacheField name="2000" numFmtId="3">
      <sharedItems containsString="0" containsBlank="1" containsNumber="1" minValue="34" maxValue="69217"/>
    </cacheField>
    <cacheField name="2001" numFmtId="3">
      <sharedItems containsString="0" containsBlank="1" containsNumber="1" minValue="8" maxValue="71601.61"/>
    </cacheField>
    <cacheField name="2002" numFmtId="3">
      <sharedItems containsString="0" containsBlank="1" containsNumber="1" containsInteger="1" minValue="363" maxValue="73061"/>
    </cacheField>
    <cacheField name="2003" numFmtId="3">
      <sharedItems containsString="0" containsBlank="1" containsNumber="1" minValue="2841.18" maxValue="132773.69"/>
    </cacheField>
    <cacheField name="2004" numFmtId="3">
      <sharedItems containsString="0" containsBlank="1" containsNumber="1" minValue="1084.6500000000001" maxValue="85613.1"/>
    </cacheField>
    <cacheField name="2005" numFmtId="3">
      <sharedItems containsString="0" containsBlank="1" containsNumber="1" minValue="1181.56" maxValue="94989.25"/>
    </cacheField>
    <cacheField name="2006" numFmtId="3">
      <sharedItems containsString="0" containsBlank="1" containsNumber="1" minValue="2048.34" maxValue="105518.53"/>
    </cacheField>
    <cacheField name="2007" numFmtId="3">
      <sharedItems containsString="0" containsBlank="1" containsNumber="1" minValue="718.1" maxValue="85512.463000000003"/>
    </cacheField>
    <cacheField name="2008" numFmtId="3">
      <sharedItems containsString="0" containsBlank="1" containsNumber="1" minValue="288.76" maxValue="89887.73"/>
    </cacheField>
    <cacheField name="2009" numFmtId="3">
      <sharedItems containsString="0" containsBlank="1" containsNumber="1" containsInteger="1" minValue="390" maxValue="106402"/>
    </cacheField>
    <cacheField name="2010" numFmtId="3">
      <sharedItems containsString="0" containsBlank="1" containsNumber="1" minValue="488.78" maxValue="83426.640000000014"/>
    </cacheField>
    <cacheField name="2011" numFmtId="3">
      <sharedItems containsString="0" containsBlank="1" containsNumber="1" containsInteger="1" minValue="-13" maxValue="67899"/>
    </cacheField>
    <cacheField name="2012" numFmtId="3">
      <sharedItems containsSemiMixedTypes="0" containsString="0" containsNumber="1" minValue="0" maxValue="60974.44"/>
    </cacheField>
    <cacheField name="2013" numFmtId="3">
      <sharedItems containsSemiMixedTypes="0" containsString="0" containsNumber="1" minValue="0" maxValue="80652.25"/>
    </cacheField>
    <cacheField name="2014" numFmtId="3">
      <sharedItems containsSemiMixedTypes="0" containsString="0" containsNumber="1" minValue="0" maxValue="78176.290000000008"/>
    </cacheField>
    <cacheField name="2015" numFmtId="3">
      <sharedItems containsString="0" containsBlank="1" containsNumber="1" minValue="329.41" maxValue="80369.509999999995" count="15">
        <m/>
        <n v="766.59"/>
        <n v="1681.57"/>
        <n v="80369.509999999995"/>
        <n v="2660.57"/>
        <n v="6896.11"/>
        <n v="329.41"/>
        <n v="17487.88"/>
        <n v="7949.22"/>
        <n v="11017.26"/>
        <n v="12730.83"/>
        <n v="4392.34"/>
        <n v="1190.8400000000001"/>
        <n v="79434.490000000005"/>
        <n v="47267.9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Kelly Brown" refreshedDate="42220.254107523149" createdVersion="5" refreshedVersion="5" minRefreshableVersion="3" recordCount="230">
  <cacheSource type="worksheet">
    <worksheetSource ref="A1:N231" sheet="TAB1.0 Accomplshmnt by District"/>
  </cacheSource>
  <cacheFields count="14">
    <cacheField name="FY" numFmtId="0">
      <sharedItems containsSemiMixedTypes="0" containsString="0" containsNumber="1" containsInteger="1" minValue="1993" maxValue="2015" count="23">
        <n v="1993"/>
        <n v="1994"/>
        <n v="1995"/>
        <n v="1996"/>
        <n v="1997"/>
        <n v="1998"/>
        <n v="1999"/>
        <n v="2000"/>
        <n v="2001"/>
        <n v="2002"/>
        <n v="2003"/>
        <n v="2004"/>
        <n v="2005"/>
        <n v="2006"/>
        <n v="2007"/>
        <n v="2008"/>
        <n v="2009"/>
        <n v="2010"/>
        <n v="2011"/>
        <n v="2012"/>
        <n v="2013"/>
        <n v="2014"/>
        <n v="2015"/>
      </sharedItems>
    </cacheField>
    <cacheField name="DISTRICT" numFmtId="0">
      <sharedItems count="12">
        <s v="WO"/>
        <s v="NC"/>
        <s v="WL"/>
        <s v="AT"/>
        <s v="FG"/>
        <s v="TL"/>
        <s v="CS"/>
        <s v="GP"/>
        <s v="KL"/>
        <s v="Total"/>
        <s v="CA" u="1"/>
        <s v="CS " u="1"/>
      </sharedItems>
    </cacheField>
    <cacheField name="AOP PLANNED Volume" numFmtId="38">
      <sharedItems containsString="0" containsBlank="1" containsNumber="1" containsInteger="1" minValue="0" maxValue="322355"/>
    </cacheField>
    <cacheField name="SOLD Volume" numFmtId="38">
      <sharedItems containsString="0" containsBlank="1" containsNumber="1" containsInteger="1" minValue="0" maxValue="311786"/>
    </cacheField>
    <cacheField name="HARVEST VOLUME BOF" numFmtId="3">
      <sharedItems containsSemiMixedTypes="0" containsString="0" containsNumber="1" minValue="0" maxValue="281604.98"/>
    </cacheField>
    <cacheField name="Pct BOF Harv Vol" numFmtId="166">
      <sharedItems containsSemiMixedTypes="0" containsString="0" containsNumber="1" minValue="0" maxValue="1"/>
    </cacheField>
    <cacheField name="HARVEST VOLUME CSL" numFmtId="3">
      <sharedItems containsString="0" containsBlank="1" containsNumber="1" minValue="0" maxValue="49714.710000000006"/>
    </cacheField>
    <cacheField name="Pct CSL Harv VOL" numFmtId="166">
      <sharedItems containsSemiMixedTypes="0" containsString="0" containsNumber="1" minValue="0" maxValue="1"/>
    </cacheField>
    <cacheField name="Total HARVEST VOL BOTH Funds" numFmtId="3">
      <sharedItems containsSemiMixedTypes="0" containsString="0" containsNumber="1" minValue="0" maxValue="323711.35999999993"/>
    </cacheField>
    <cacheField name="HARVEST VALUE BOF" numFmtId="6">
      <sharedItems containsSemiMixedTypes="0" containsString="0" containsNumber="1" minValue="0" maxValue="103150843.27000001"/>
    </cacheField>
    <cacheField name="Pct BOF Harv Value" numFmtId="166">
      <sharedItems containsSemiMixedTypes="0" containsString="0" containsNumber="1" minValue="0" maxValue="1"/>
    </cacheField>
    <cacheField name="HARVEST VALUE CSL" numFmtId="6">
      <sharedItems containsString="0" containsBlank="1" containsNumber="1" minValue="0" maxValue="24398920.939999998"/>
    </cacheField>
    <cacheField name="Pct CSL Val" numFmtId="166">
      <sharedItems containsSemiMixedTypes="0" containsString="0" containsNumber="1" minValue="0" maxValue="1"/>
    </cacheField>
    <cacheField name="HARVEST VALUE BOTH FUNDS" numFmtId="6">
      <sharedItems containsSemiMixedTypes="0" containsString="0" containsNumber="1" minValue="0" maxValue="111048285.8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3">
  <r>
    <x v="0"/>
    <x v="0"/>
    <n v="24997"/>
    <n v="24997"/>
    <n v="0"/>
    <n v="27789.65"/>
    <n v="24308.95"/>
    <n v="3480.7"/>
    <n v="32635.24"/>
    <n v="32635.24"/>
    <n v="0"/>
  </r>
  <r>
    <x v="0"/>
    <x v="1"/>
    <n v="47800"/>
    <n v="47800"/>
    <n v="0"/>
    <n v="65152"/>
    <n v="65152"/>
    <n v="0"/>
    <n v="53674.25"/>
    <n v="51497.34"/>
    <n v="2176.91"/>
  </r>
  <r>
    <x v="0"/>
    <x v="2"/>
    <n v="49985"/>
    <n v="49985"/>
    <n v="0"/>
    <n v="32420"/>
    <n v="32420"/>
    <n v="0"/>
    <n v="26796.720000000001"/>
    <n v="26467.41"/>
    <n v="329.31"/>
  </r>
  <r>
    <x v="0"/>
    <x v="3"/>
    <n v="53380"/>
    <n v="53380"/>
    <n v="0"/>
    <n v="76224"/>
    <n v="76224"/>
    <n v="0"/>
    <n v="37817.43"/>
    <n v="37705.82"/>
    <n v="111.61"/>
  </r>
  <r>
    <x v="0"/>
    <x v="4"/>
    <n v="78200"/>
    <n v="75304"/>
    <n v="2896"/>
    <n v="39366"/>
    <n v="39366"/>
    <n v="0"/>
    <n v="66834.820000000007"/>
    <n v="66832.490000000005"/>
    <n v="2.33"/>
  </r>
  <r>
    <x v="0"/>
    <x v="5"/>
    <n v="79100"/>
    <n v="76560.55"/>
    <n v="2539.4499999999998"/>
    <n v="68087"/>
    <n v="66155.22"/>
    <n v="1931.78"/>
    <n v="60433.009999999995"/>
    <n v="60208.42"/>
    <n v="224.59"/>
  </r>
  <r>
    <x v="0"/>
    <x v="6"/>
    <n v="82900"/>
    <n v="82900"/>
    <n v="0"/>
    <n v="79503"/>
    <n v="79503"/>
    <n v="0"/>
    <n v="61939.719999999994"/>
    <n v="61724.88"/>
    <n v="214.84"/>
  </r>
  <r>
    <x v="0"/>
    <x v="7"/>
    <n v="61000"/>
    <n v="61000"/>
    <n v="0"/>
    <n v="88366"/>
    <n v="87072.34"/>
    <n v="1293.6600000000001"/>
    <n v="108543.37"/>
    <n v="106920.17"/>
    <n v="1623.2"/>
  </r>
  <r>
    <x v="0"/>
    <x v="8"/>
    <n v="69300"/>
    <n v="69300"/>
    <n v="0"/>
    <n v="103454"/>
    <n v="103202.88"/>
    <n v="251.12"/>
    <n v="79378.710000000006"/>
    <n v="78397.19"/>
    <n v="981.52"/>
  </r>
  <r>
    <x v="0"/>
    <x v="9"/>
    <n v="70912"/>
    <n v="70912"/>
    <n v="0"/>
    <n v="65873"/>
    <n v="65873"/>
    <n v="0"/>
    <n v="85581.989999999991"/>
    <n v="84803.87"/>
    <n v="778.12"/>
  </r>
  <r>
    <x v="0"/>
    <x v="10"/>
    <n v="75902"/>
    <n v="75181.2"/>
    <n v="720.8"/>
    <n v="79583"/>
    <n v="78872.600000000006"/>
    <n v="710.4"/>
    <n v="82955.01999999999"/>
    <n v="82894.179999999993"/>
    <n v="60.84"/>
  </r>
  <r>
    <x v="0"/>
    <x v="11"/>
    <n v="61400"/>
    <n v="59528"/>
    <n v="1872"/>
    <n v="92793"/>
    <n v="92793"/>
    <n v="0"/>
    <n v="68833.16"/>
    <n v="68400.47"/>
    <n v="432.69"/>
  </r>
  <r>
    <x v="0"/>
    <x v="12"/>
    <n v="50000"/>
    <n v="49640"/>
    <n v="360"/>
    <n v="79168"/>
    <n v="75437"/>
    <n v="3731"/>
    <n v="82748"/>
    <n v="80479"/>
    <n v="2269"/>
  </r>
  <r>
    <x v="0"/>
    <x v="13"/>
    <n v="77557"/>
    <n v="77557"/>
    <n v="0"/>
    <n v="70825"/>
    <n v="70825"/>
    <n v="0"/>
    <n v="97317.33"/>
    <n v="96181.46"/>
    <n v="1135.8699999999999"/>
  </r>
  <r>
    <x v="0"/>
    <x v="14"/>
    <n v="61000"/>
    <n v="61000"/>
    <n v="0"/>
    <n v="58787"/>
    <n v="58787"/>
    <n v="0"/>
    <n v="82201"/>
    <n v="81365"/>
    <n v="836"/>
  </r>
  <r>
    <x v="0"/>
    <x v="15"/>
    <n v="61490.5"/>
    <n v="61150"/>
    <n v="340.5"/>
    <n v="59578"/>
    <n v="59287"/>
    <n v="291"/>
    <n v="54789"/>
    <n v="54652"/>
    <n v="137"/>
  </r>
  <r>
    <x v="0"/>
    <x v="16"/>
    <n v="71824"/>
    <n v="71824"/>
    <n v="0"/>
    <n v="70275"/>
    <n v="70275"/>
    <n v="0"/>
    <n v="47729.34"/>
    <n v="47491.59"/>
    <n v="237.75"/>
  </r>
  <r>
    <x v="0"/>
    <x v="17"/>
    <n v="68500"/>
    <n v="68320"/>
    <n v="180"/>
    <n v="75708"/>
    <n v="75543.81"/>
    <n v="164.19"/>
    <n v="76446.040000000008"/>
    <n v="76419.740000000005"/>
    <n v="26.3"/>
  </r>
  <r>
    <x v="0"/>
    <x v="18"/>
    <n v="64948"/>
    <n v="64948"/>
    <n v="0"/>
    <n v="73096"/>
    <n v="73096"/>
    <n v="0"/>
    <n v="60912.06"/>
    <n v="60902.99"/>
    <n v="9.07"/>
  </r>
  <r>
    <x v="0"/>
    <x v="19"/>
    <n v="73030"/>
    <n v="72231"/>
    <n v="799"/>
    <n v="78600.700000000012"/>
    <n v="77510.320000000007"/>
    <n v="1090.3800000000001"/>
    <n v="79677.8"/>
    <n v="79508.740000000005"/>
    <n v="169.06"/>
  </r>
  <r>
    <x v="0"/>
    <x v="20"/>
    <n v="74254"/>
    <n v="74254"/>
    <n v="0"/>
    <n v="0"/>
    <m/>
    <m/>
    <n v="0"/>
    <m/>
    <m/>
  </r>
  <r>
    <x v="1"/>
    <x v="21"/>
    <s v="TOTAL AOP Planned Volume"/>
    <s v="BOF AOP Planned Volume"/>
    <s v="CSL AOP Planned Volume"/>
    <s v="TOTALSold Volume"/>
    <s v="BOF Sold Volume"/>
    <s v="CSL Sold Volume"/>
    <s v="TOTAL Harvested Volume (MBF)"/>
    <s v="Harvested Vol. Vol. BOF"/>
    <s v="Harvested Vol. CSL"/>
  </r>
  <r>
    <x v="2"/>
    <x v="0"/>
    <n v="15700"/>
    <n v="15700"/>
    <n v="0"/>
    <n v="26759.5"/>
    <n v="26556.5"/>
    <n v="203"/>
    <n v="14909.22"/>
    <n v="14906.26"/>
    <n v="2.96"/>
  </r>
  <r>
    <x v="2"/>
    <x v="1"/>
    <n v="25100"/>
    <n v="25100"/>
    <n v="0"/>
    <n v="39599"/>
    <n v="37387.46"/>
    <n v="2211.54"/>
    <n v="23890.49"/>
    <n v="23470.240000000002"/>
    <n v="420.25"/>
  </r>
  <r>
    <x v="2"/>
    <x v="2"/>
    <n v="29200"/>
    <n v="29125"/>
    <n v="75"/>
    <n v="30052.65"/>
    <n v="30000"/>
    <n v="52.65"/>
    <n v="27065.01"/>
    <n v="27017.69"/>
    <n v="47.32"/>
  </r>
  <r>
    <x v="2"/>
    <x v="3"/>
    <n v="45355"/>
    <n v="45355"/>
    <n v="0"/>
    <n v="48624"/>
    <n v="48571.35"/>
    <n v="52.65"/>
    <n v="38914.939999999995"/>
    <n v="38194.019999999997"/>
    <n v="720.92"/>
  </r>
  <r>
    <x v="2"/>
    <x v="4"/>
    <n v="41704"/>
    <n v="41704"/>
    <n v="0"/>
    <n v="51772"/>
    <n v="51772"/>
    <n v="0"/>
    <n v="46081.7"/>
    <n v="45427.09"/>
    <n v="654.61"/>
  </r>
  <r>
    <x v="2"/>
    <x v="5"/>
    <n v="37150"/>
    <n v="37150"/>
    <n v="0"/>
    <n v="33521"/>
    <n v="33521"/>
    <n v="0"/>
    <n v="34743.57"/>
    <n v="34743.57"/>
    <n v="0"/>
  </r>
  <r>
    <x v="2"/>
    <x v="6"/>
    <n v="24000"/>
    <n v="24000"/>
    <n v="0"/>
    <n v="32271"/>
    <n v="32271"/>
    <n v="0"/>
    <n v="49274.21"/>
    <n v="49273.4"/>
    <n v="0.81"/>
  </r>
  <r>
    <x v="2"/>
    <x v="7"/>
    <n v="53396"/>
    <n v="53176"/>
    <n v="220"/>
    <n v="57882"/>
    <n v="57671.79"/>
    <n v="210.21"/>
    <n v="40153.43"/>
    <n v="40150.33"/>
    <n v="3.1"/>
  </r>
  <r>
    <x v="2"/>
    <x v="8"/>
    <n v="68010"/>
    <n v="67900"/>
    <n v="110"/>
    <n v="68806"/>
    <n v="68720.600000000006"/>
    <n v="85.4"/>
    <n v="54332.32"/>
    <n v="54070.63"/>
    <n v="261.69"/>
  </r>
  <r>
    <x v="2"/>
    <x v="9"/>
    <n v="67228"/>
    <n v="65160"/>
    <n v="2068"/>
    <n v="54796"/>
    <n v="54796"/>
    <n v="0"/>
    <n v="62165.979999999996"/>
    <n v="62162.67"/>
    <n v="3.31"/>
  </r>
  <r>
    <x v="2"/>
    <x v="10"/>
    <n v="90430"/>
    <n v="89150"/>
    <n v="1280"/>
    <n v="76917.919999999998"/>
    <n v="70336"/>
    <n v="6581.92"/>
    <n v="72990.009999999995"/>
    <n v="72240.95"/>
    <n v="749.06"/>
  </r>
  <r>
    <x v="2"/>
    <x v="11"/>
    <n v="58100"/>
    <n v="57641"/>
    <n v="459"/>
    <n v="50820"/>
    <n v="50820"/>
    <n v="0"/>
    <n v="57181.14"/>
    <n v="53658.61"/>
    <n v="3522.53"/>
  </r>
  <r>
    <x v="2"/>
    <x v="12"/>
    <n v="59700"/>
    <n v="59400"/>
    <n v="300"/>
    <n v="25189"/>
    <n v="24910"/>
    <n v="279"/>
    <n v="52225"/>
    <n v="50422"/>
    <n v="1803"/>
  </r>
  <r>
    <x v="2"/>
    <x v="13"/>
    <n v="35300"/>
    <n v="33300"/>
    <n v="2000"/>
    <n v="27282"/>
    <n v="25599"/>
    <n v="1683"/>
    <n v="57690.64"/>
    <n v="57398.29"/>
    <n v="292.35000000000002"/>
  </r>
  <r>
    <x v="2"/>
    <x v="14"/>
    <n v="34878"/>
    <n v="34878"/>
    <n v="0"/>
    <n v="38471"/>
    <n v="38471"/>
    <n v="0"/>
    <n v="41165"/>
    <n v="40895"/>
    <n v="270"/>
  </r>
  <r>
    <x v="2"/>
    <x v="15"/>
    <n v="50107"/>
    <n v="50107"/>
    <n v="0"/>
    <n v="47747"/>
    <n v="47747"/>
    <n v="0"/>
    <n v="35156"/>
    <n v="33443"/>
    <n v="1713"/>
  </r>
  <r>
    <x v="2"/>
    <x v="16"/>
    <n v="49027"/>
    <n v="49027"/>
    <n v="0"/>
    <n v="50716"/>
    <n v="50716"/>
    <n v="0"/>
    <n v="43288.14"/>
    <n v="43288.14"/>
    <n v="0"/>
  </r>
  <r>
    <x v="2"/>
    <x v="17"/>
    <n v="49000"/>
    <n v="48726"/>
    <n v="274"/>
    <n v="41281"/>
    <n v="40953.86"/>
    <n v="327.14"/>
    <n v="44428.3"/>
    <n v="44428.3"/>
    <n v="0"/>
  </r>
  <r>
    <x v="2"/>
    <x v="18"/>
    <n v="50900"/>
    <n v="50900"/>
    <n v="0"/>
    <n v="33096"/>
    <n v="33096"/>
    <n v="0"/>
    <n v="49880.4"/>
    <n v="49880.4"/>
    <n v="0"/>
  </r>
  <r>
    <x v="2"/>
    <x v="19"/>
    <n v="47000"/>
    <n v="47000"/>
    <n v="0"/>
    <n v="36088"/>
    <n v="36088"/>
    <n v="0"/>
    <n v="58239.61"/>
    <n v="57908.03"/>
    <n v="331.58"/>
  </r>
  <r>
    <x v="2"/>
    <x v="20"/>
    <n v="47600"/>
    <n v="47600"/>
    <n v="0"/>
    <n v="0"/>
    <m/>
    <m/>
    <n v="0"/>
    <m/>
    <m/>
  </r>
  <r>
    <x v="1"/>
    <x v="21"/>
    <s v="TOTAL AOP Planned Volume"/>
    <s v="BOF AOP Planned Volume"/>
    <s v="CSL AOP Planned Volume"/>
    <s v="TOTALSold Volume"/>
    <s v="BOF Sold Volume"/>
    <s v="CSL Sold Volume"/>
    <s v="TOTAL Harvested Volume (MBF)"/>
    <s v="Harvested Vol. BOF"/>
    <s v="Harvested Vol. CSL"/>
  </r>
  <r>
    <x v="3"/>
    <x v="0"/>
    <n v="0"/>
    <n v="0"/>
    <n v="0"/>
    <n v="31584.989999999998"/>
    <n v="29264.17"/>
    <n v="2320.8200000000002"/>
    <n v="21560.52"/>
    <n v="21560.52"/>
    <n v="0"/>
  </r>
  <r>
    <x v="3"/>
    <x v="1"/>
    <n v="32800"/>
    <n v="32800"/>
    <n v="0"/>
    <n v="17364"/>
    <n v="17364"/>
    <n v="0"/>
    <n v="40967.07"/>
    <n v="40967.07"/>
    <n v="0"/>
  </r>
  <r>
    <x v="3"/>
    <x v="2"/>
    <n v="31800"/>
    <n v="31544"/>
    <n v="256"/>
    <n v="21612"/>
    <n v="21612"/>
    <n v="0"/>
    <n v="18732.5"/>
    <n v="18732.5"/>
    <n v="0"/>
  </r>
  <r>
    <x v="3"/>
    <x v="3"/>
    <n v="24200"/>
    <n v="23480"/>
    <n v="720"/>
    <n v="21822.799999999999"/>
    <n v="21612"/>
    <n v="210.8"/>
    <n v="27528.54"/>
    <n v="27522.52"/>
    <n v="6.02"/>
  </r>
  <r>
    <x v="3"/>
    <x v="4"/>
    <n v="50145"/>
    <n v="50145"/>
    <n v="0"/>
    <n v="54483"/>
    <n v="53387.8"/>
    <n v="1095.2"/>
    <n v="51325.829999999994"/>
    <n v="51276.06"/>
    <n v="49.77"/>
  </r>
  <r>
    <x v="3"/>
    <x v="5"/>
    <n v="43400"/>
    <n v="43400"/>
    <n v="0"/>
    <n v="48424"/>
    <n v="48424"/>
    <n v="0"/>
    <n v="55199.960000000006"/>
    <n v="55054.55"/>
    <n v="145.41"/>
  </r>
  <r>
    <x v="3"/>
    <x v="6"/>
    <n v="38000"/>
    <n v="38000"/>
    <n v="0"/>
    <n v="44933"/>
    <n v="44933"/>
    <n v="0"/>
    <n v="64130.619999999995"/>
    <n v="64075.09"/>
    <n v="55.53"/>
  </r>
  <r>
    <x v="3"/>
    <x v="7"/>
    <n v="46900"/>
    <n v="46900"/>
    <n v="0"/>
    <n v="50985"/>
    <n v="50985"/>
    <n v="0"/>
    <n v="56179.839999999997"/>
    <n v="56179.839999999997"/>
    <n v="0"/>
  </r>
  <r>
    <x v="3"/>
    <x v="8"/>
    <n v="69500"/>
    <n v="69500"/>
    <n v="0"/>
    <n v="61119"/>
    <n v="61119"/>
    <n v="0"/>
    <n v="60581.24"/>
    <n v="60581.24"/>
    <n v="0"/>
  </r>
  <r>
    <x v="3"/>
    <x v="9"/>
    <n v="55400"/>
    <n v="55400"/>
    <n v="0"/>
    <n v="48730"/>
    <n v="48730"/>
    <n v="0"/>
    <n v="55798.52"/>
    <n v="55798.52"/>
    <n v="0"/>
  </r>
  <r>
    <x v="3"/>
    <x v="10"/>
    <n v="76300"/>
    <n v="76300"/>
    <n v="0"/>
    <n v="64722"/>
    <n v="64722"/>
    <m/>
    <n v="69028.100000000006"/>
    <n v="69028.100000000006"/>
    <n v="0"/>
  </r>
  <r>
    <x v="3"/>
    <x v="11"/>
    <n v="53300"/>
    <n v="53300"/>
    <n v="0"/>
    <n v="64918"/>
    <n v="64918"/>
    <n v="0"/>
    <n v="70988.03"/>
    <n v="70988.03"/>
    <n v="0"/>
  </r>
  <r>
    <x v="3"/>
    <x v="12"/>
    <n v="58000"/>
    <n v="58000"/>
    <n v="0"/>
    <n v="65025"/>
    <n v="65025"/>
    <n v="0"/>
    <n v="59539"/>
    <n v="59539"/>
    <n v="0"/>
  </r>
  <r>
    <x v="3"/>
    <x v="13"/>
    <n v="62288"/>
    <n v="62168"/>
    <n v="120"/>
    <n v="70674"/>
    <n v="70553.460000000006"/>
    <n v="120.54"/>
    <n v="39469.599999999999"/>
    <n v="39469.599999999999"/>
    <n v="0"/>
  </r>
  <r>
    <x v="3"/>
    <x v="14"/>
    <n v="62888"/>
    <n v="62888"/>
    <n v="0"/>
    <n v="67596"/>
    <n v="67596"/>
    <n v="0"/>
    <n v="92742.06"/>
    <n v="92710"/>
    <n v="32.06"/>
  </r>
  <r>
    <x v="3"/>
    <x v="15"/>
    <n v="58742"/>
    <n v="58742"/>
    <n v="0"/>
    <n v="52691"/>
    <n v="52691"/>
    <n v="0"/>
    <n v="86042"/>
    <n v="85948"/>
    <n v="94"/>
  </r>
  <r>
    <x v="3"/>
    <x v="16"/>
    <n v="62190"/>
    <n v="62190"/>
    <n v="0"/>
    <n v="61169"/>
    <n v="61169"/>
    <n v="0"/>
    <n v="62432.04"/>
    <n v="62432.04"/>
    <n v="0"/>
  </r>
  <r>
    <x v="3"/>
    <x v="17"/>
    <n v="61900"/>
    <n v="61900"/>
    <n v="0"/>
    <n v="64494"/>
    <n v="64494"/>
    <n v="0"/>
    <n v="67024.72"/>
    <n v="67024.72"/>
    <n v="0"/>
  </r>
  <r>
    <x v="3"/>
    <x v="18"/>
    <n v="56100"/>
    <n v="56100"/>
    <n v="0"/>
    <n v="57038"/>
    <n v="57038"/>
    <n v="0"/>
    <n v="66373.16"/>
    <n v="66373.16"/>
    <n v="0"/>
  </r>
  <r>
    <x v="3"/>
    <x v="19"/>
    <n v="56600"/>
    <n v="56516"/>
    <n v="84"/>
    <n v="64910"/>
    <n v="64830.239999999998"/>
    <n v="79.760000000000005"/>
    <n v="69154.53"/>
    <n v="69154.53"/>
    <n v="0"/>
  </r>
  <r>
    <x v="3"/>
    <x v="20"/>
    <n v="58100"/>
    <n v="57608"/>
    <n v="492"/>
    <n v="0"/>
    <m/>
    <m/>
    <n v="0"/>
    <m/>
    <m/>
  </r>
  <r>
    <x v="1"/>
    <x v="21"/>
    <s v="TOTAL AOP Planned Volume"/>
    <s v="BOF AOP Planned Volume"/>
    <s v="CSL AOP Planned Volume"/>
    <s v="TOTALSold Volume"/>
    <s v="BOF Sold Volume"/>
    <s v="CSL Sold Volume"/>
    <s v="TOTAL Harvested Volume (MBF)"/>
    <s v="Harvested Vol. BOF"/>
    <s v="Harvested Vol. CSL"/>
  </r>
  <r>
    <x v="4"/>
    <x v="0"/>
    <n v="13250"/>
    <n v="13250"/>
    <n v="0"/>
    <n v="6020.11"/>
    <n v="6020.11"/>
    <n v="0"/>
    <n v="7156.2800000000007"/>
    <n v="7144.47"/>
    <n v="11.81"/>
  </r>
  <r>
    <x v="4"/>
    <x v="1"/>
    <n v="21300"/>
    <n v="21300"/>
    <n v="0"/>
    <n v="38030"/>
    <n v="38030"/>
    <n v="0"/>
    <n v="6192.79"/>
    <n v="6192.79"/>
    <n v="0"/>
  </r>
  <r>
    <x v="4"/>
    <x v="2"/>
    <n v="25150"/>
    <n v="25150"/>
    <n v="0"/>
    <n v="4307"/>
    <n v="4307"/>
    <n v="0"/>
    <n v="15520.96"/>
    <n v="15520.96"/>
    <n v="0"/>
  </r>
  <r>
    <x v="4"/>
    <x v="3"/>
    <n v="11700"/>
    <n v="11700"/>
    <n v="0"/>
    <n v="28275"/>
    <n v="28275"/>
    <n v="0"/>
    <n v="29693.78"/>
    <n v="29693.78"/>
    <n v="0"/>
  </r>
  <r>
    <x v="4"/>
    <x v="4"/>
    <n v="26066"/>
    <n v="25966"/>
    <n v="100"/>
    <n v="32097.7"/>
    <n v="31934.3"/>
    <n v="163.4"/>
    <n v="26588.07"/>
    <n v="26588.07"/>
    <n v="0"/>
  </r>
  <r>
    <x v="4"/>
    <x v="5"/>
    <n v="16430"/>
    <n v="16430"/>
    <n v="0"/>
    <n v="16705"/>
    <n v="16705"/>
    <n v="0"/>
    <n v="17111.350000000002"/>
    <n v="17059.79"/>
    <n v="51.56"/>
  </r>
  <r>
    <x v="4"/>
    <x v="6"/>
    <n v="18328"/>
    <n v="18328"/>
    <n v="0"/>
    <n v="23345"/>
    <n v="23345"/>
    <n v="0"/>
    <n v="21761.929999999997"/>
    <n v="21663.26"/>
    <n v="98.67"/>
  </r>
  <r>
    <x v="4"/>
    <x v="7"/>
    <n v="19189"/>
    <n v="19189"/>
    <n v="0"/>
    <n v="12070"/>
    <n v="12070"/>
    <n v="0"/>
    <n v="23077.38"/>
    <n v="23052.560000000001"/>
    <n v="24.82"/>
  </r>
  <r>
    <x v="4"/>
    <x v="8"/>
    <n v="27319"/>
    <n v="26799"/>
    <n v="520"/>
    <n v="20068"/>
    <n v="20068"/>
    <n v="0"/>
    <n v="23489.86"/>
    <n v="23489.86"/>
    <n v="0"/>
  </r>
  <r>
    <x v="4"/>
    <x v="9"/>
    <n v="20120"/>
    <n v="20120"/>
    <n v="0"/>
    <n v="23487"/>
    <n v="22953.8"/>
    <n v="533.20000000000005"/>
    <n v="35979.17"/>
    <n v="35979.17"/>
    <n v="0"/>
  </r>
  <r>
    <x v="4"/>
    <x v="10"/>
    <n v="23250"/>
    <n v="23250"/>
    <n v="0"/>
    <n v="23565"/>
    <n v="23565"/>
    <n v="0"/>
    <n v="26313.84"/>
    <n v="25833.06"/>
    <n v="480.78"/>
  </r>
  <r>
    <x v="4"/>
    <x v="11"/>
    <n v="13970"/>
    <n v="13630"/>
    <n v="340"/>
    <n v="16772"/>
    <n v="16340"/>
    <n v="432"/>
    <n v="23360.66"/>
    <n v="23342.76"/>
    <n v="17.899999999999999"/>
  </r>
  <r>
    <x v="4"/>
    <x v="12"/>
    <n v="14000"/>
    <n v="14000"/>
    <n v="0"/>
    <n v="14991"/>
    <n v="14991"/>
    <n v="0"/>
    <n v="17978"/>
    <n v="17831"/>
    <n v="147"/>
  </r>
  <r>
    <x v="4"/>
    <x v="13"/>
    <n v="17688"/>
    <n v="17688"/>
    <n v="0"/>
    <n v="16200"/>
    <n v="16200"/>
    <n v="0"/>
    <n v="14863.949999999999"/>
    <n v="14666.73"/>
    <n v="197.22"/>
  </r>
  <r>
    <x v="4"/>
    <x v="14"/>
    <n v="14435"/>
    <n v="14435"/>
    <n v="0"/>
    <n v="17556"/>
    <n v="17556"/>
    <n v="0"/>
    <n v="24678"/>
    <n v="24678"/>
    <n v="0"/>
  </r>
  <r>
    <x v="4"/>
    <x v="15"/>
    <n v="14200"/>
    <n v="14200"/>
    <n v="0"/>
    <n v="14862"/>
    <n v="14862"/>
    <n v="0"/>
    <n v="28482"/>
    <n v="28482"/>
    <n v="0"/>
  </r>
  <r>
    <x v="4"/>
    <x v="16"/>
    <n v="11300"/>
    <n v="11300"/>
    <n v="0"/>
    <n v="12946"/>
    <n v="12946"/>
    <n v="0"/>
    <n v="19227.53"/>
    <n v="19227.53"/>
    <n v="0"/>
  </r>
  <r>
    <x v="4"/>
    <x v="17"/>
    <n v="13900"/>
    <n v="12800"/>
    <n v="1100"/>
    <n v="19094"/>
    <n v="17661"/>
    <n v="1433"/>
    <n v="5496.34"/>
    <n v="4432.34"/>
    <n v="1064"/>
  </r>
  <r>
    <x v="4"/>
    <x v="18"/>
    <n v="20600"/>
    <n v="20600"/>
    <n v="0"/>
    <n v="22278"/>
    <n v="22278"/>
    <n v="0"/>
    <n v="22156.29"/>
    <n v="22156.29"/>
    <n v="0"/>
  </r>
  <r>
    <x v="4"/>
    <x v="19"/>
    <n v="19000"/>
    <n v="17164"/>
    <n v="1836"/>
    <n v="18854"/>
    <n v="16268.9"/>
    <n v="2585.1"/>
    <n v="18804.739999999998"/>
    <n v="18354.48"/>
    <n v="450.26"/>
  </r>
  <r>
    <x v="4"/>
    <x v="20"/>
    <n v="21000"/>
    <n v="21000"/>
    <n v="0"/>
    <n v="0"/>
    <m/>
    <m/>
    <n v="0"/>
    <m/>
    <m/>
  </r>
  <r>
    <x v="1"/>
    <x v="21"/>
    <s v="TOTAL AOP Planned Volume"/>
    <s v="BOF AOP Planned Volume"/>
    <s v="CSL AOP Planned Volume"/>
    <s v="TOTALSold Volume"/>
    <s v="BOF Sold Volume"/>
    <s v="CSL Sold Volume"/>
    <s v="TOTAL Harvested Volume (MBF)"/>
    <s v="Harvested Vol. BOF"/>
    <s v="Harvested Vol. CSL"/>
  </r>
  <r>
    <x v="5"/>
    <x v="0"/>
    <n v="10974"/>
    <n v="10843.35"/>
    <n v="130.65"/>
    <n v="19733"/>
    <n v="18654.63"/>
    <n v="1078.3699999999999"/>
    <n v="10376.41"/>
    <n v="6042.09"/>
    <n v="4334.32"/>
  </r>
  <r>
    <x v="5"/>
    <x v="1"/>
    <n v="17000"/>
    <n v="14107"/>
    <n v="2893"/>
    <n v="16874"/>
    <n v="14986.94"/>
    <n v="1887.06"/>
    <n v="16601.490000000002"/>
    <n v="15891.87"/>
    <n v="709.62"/>
  </r>
  <r>
    <x v="5"/>
    <x v="2"/>
    <n v="14400"/>
    <n v="9932"/>
    <n v="4468"/>
    <n v="8243"/>
    <n v="5288.79"/>
    <n v="2954.21"/>
    <n v="14079.65"/>
    <n v="13595.38"/>
    <n v="484.27"/>
  </r>
  <r>
    <x v="5"/>
    <x v="3"/>
    <n v="11200"/>
    <n v="9518"/>
    <n v="1682"/>
    <n v="13391"/>
    <n v="9994.7099999999991"/>
    <n v="3396.29"/>
    <n v="27843.54"/>
    <n v="22835.55"/>
    <n v="5007.99"/>
  </r>
  <r>
    <x v="5"/>
    <x v="4"/>
    <n v="11600"/>
    <n v="9148"/>
    <n v="2452"/>
    <n v="13061"/>
    <n v="12252.67"/>
    <n v="808.33"/>
    <n v="14894.380000000001"/>
    <n v="11723.76"/>
    <n v="3170.62"/>
  </r>
  <r>
    <x v="5"/>
    <x v="5"/>
    <n v="8600"/>
    <n v="6865"/>
    <n v="1735"/>
    <n v="9498"/>
    <n v="7098.66"/>
    <n v="2399.34"/>
    <n v="6401.76"/>
    <n v="5282.14"/>
    <n v="1119.6199999999999"/>
  </r>
  <r>
    <x v="5"/>
    <x v="6"/>
    <n v="10700"/>
    <n v="10114"/>
    <n v="586"/>
    <n v="8549"/>
    <n v="7254.55"/>
    <n v="1294.45"/>
    <n v="12560.5"/>
    <n v="10957.51"/>
    <n v="1602.99"/>
  </r>
  <r>
    <x v="5"/>
    <x v="7"/>
    <n v="8200"/>
    <n v="6823"/>
    <n v="1377"/>
    <n v="13019"/>
    <n v="11825.3"/>
    <n v="1193.7"/>
    <n v="16503.62"/>
    <n v="12436.66"/>
    <n v="4066.96"/>
  </r>
  <r>
    <x v="5"/>
    <x v="8"/>
    <n v="12500"/>
    <n v="10249"/>
    <n v="2251"/>
    <n v="8167"/>
    <n v="5835.12"/>
    <n v="2331.88"/>
    <n v="17773.849999999999"/>
    <n v="15657.25"/>
    <n v="2116.6"/>
  </r>
  <r>
    <x v="5"/>
    <x v="9"/>
    <n v="9900"/>
    <n v="8670"/>
    <n v="1230"/>
    <n v="13134"/>
    <n v="11701.77"/>
    <n v="1432.23"/>
    <n v="15470.640000000001"/>
    <n v="12924.87"/>
    <n v="2545.77"/>
  </r>
  <r>
    <x v="5"/>
    <x v="10"/>
    <n v="9800"/>
    <n v="8854"/>
    <n v="946"/>
    <n v="16103"/>
    <n v="14356.1"/>
    <n v="1746.9"/>
    <n v="13787.470000000001"/>
    <n v="12036.19"/>
    <n v="1751.28"/>
  </r>
  <r>
    <x v="5"/>
    <x v="11"/>
    <n v="10400"/>
    <n v="8189"/>
    <n v="2211"/>
    <n v="10037"/>
    <n v="8944"/>
    <n v="1093"/>
    <n v="12583.640000000001"/>
    <n v="10489.86"/>
    <n v="2093.7800000000002"/>
  </r>
  <r>
    <x v="5"/>
    <x v="12"/>
    <n v="10700"/>
    <n v="7231"/>
    <n v="3469"/>
    <n v="11757"/>
    <n v="8597"/>
    <n v="3160"/>
    <n v="8893"/>
    <n v="7481"/>
    <n v="1412"/>
  </r>
  <r>
    <x v="5"/>
    <x v="13"/>
    <n v="10800"/>
    <n v="8512"/>
    <n v="2288"/>
    <n v="13551"/>
    <n v="10960.4"/>
    <n v="2590.6"/>
    <n v="12704.189999999999"/>
    <n v="10326.57"/>
    <n v="2377.62"/>
  </r>
  <r>
    <x v="5"/>
    <x v="14"/>
    <n v="10100"/>
    <n v="7544"/>
    <n v="2556"/>
    <n v="9108"/>
    <n v="7153.24"/>
    <n v="1954.76"/>
    <n v="13703.68"/>
    <n v="9706.68"/>
    <n v="3997"/>
  </r>
  <r>
    <x v="5"/>
    <x v="15"/>
    <n v="10300"/>
    <n v="7775"/>
    <n v="2525"/>
    <n v="8902"/>
    <n v="6721"/>
    <n v="2181"/>
    <n v="6222"/>
    <n v="4803"/>
    <n v="1419"/>
  </r>
  <r>
    <x v="5"/>
    <x v="16"/>
    <n v="10500"/>
    <n v="9250"/>
    <n v="1250"/>
    <n v="10318"/>
    <n v="8995.7000000000007"/>
    <n v="1322.3"/>
    <n v="18993.75"/>
    <n v="17321.14"/>
    <n v="1672.61"/>
  </r>
  <r>
    <x v="5"/>
    <x v="17"/>
    <n v="10025"/>
    <n v="9783"/>
    <n v="242"/>
    <n v="8702.9800000000014"/>
    <n v="8593.2000000000007"/>
    <n v="109.78"/>
    <n v="12464.95"/>
    <n v="11231.11"/>
    <n v="1233.8399999999999"/>
  </r>
  <r>
    <x v="5"/>
    <x v="18"/>
    <n v="9114"/>
    <n v="7816.1"/>
    <n v="1297.9000000000001"/>
    <n v="6871"/>
    <n v="6410.1689999999999"/>
    <n v="460.83100000000002"/>
    <n v="4510.33"/>
    <n v="3536.28"/>
    <n v="974.05"/>
  </r>
  <r>
    <x v="5"/>
    <x v="19"/>
    <n v="13200"/>
    <n v="9823"/>
    <n v="3377"/>
    <n v="14424"/>
    <n v="11692.296"/>
    <n v="2731.7040000000002"/>
    <n v="12974.689999999999"/>
    <n v="11992.56"/>
    <n v="982.13"/>
  </r>
  <r>
    <x v="5"/>
    <x v="20"/>
    <n v="13200"/>
    <n v="10927"/>
    <n v="2273"/>
    <n v="0"/>
    <m/>
    <m/>
    <n v="0"/>
    <m/>
    <m/>
  </r>
  <r>
    <x v="1"/>
    <x v="21"/>
    <s v="TOTAL AOP Planned Volume"/>
    <s v="BOF AOP Planned Volume"/>
    <s v="CSL AOP Planned Volume"/>
    <s v="TOTALSold Volume"/>
    <s v="BOF Sold Volume"/>
    <s v="CSL Sold Volume"/>
    <s v="TOTAL Harvested Volume (MBF)"/>
    <s v="Harvested Vol. BOF"/>
    <s v="Harvested Vol. CSL"/>
  </r>
  <r>
    <x v="6"/>
    <x v="0"/>
    <n v="3300"/>
    <n v="3300"/>
    <n v="0"/>
    <n v="3170"/>
    <n v="3170"/>
    <n v="0"/>
    <n v="836.01"/>
    <n v="836.01"/>
    <n v="0"/>
  </r>
  <r>
    <x v="6"/>
    <x v="1"/>
    <n v="4200"/>
    <n v="4200"/>
    <n v="0"/>
    <n v="5825"/>
    <n v="5825"/>
    <n v="0"/>
    <n v="854"/>
    <n v="854"/>
    <n v="0"/>
  </r>
  <r>
    <x v="6"/>
    <x v="2"/>
    <n v="0"/>
    <n v="0"/>
    <n v="0"/>
    <n v="0"/>
    <n v="0"/>
    <n v="0"/>
    <n v="2162.12"/>
    <n v="2162.12"/>
    <n v="0"/>
  </r>
  <r>
    <x v="6"/>
    <x v="3"/>
    <n v="13460"/>
    <n v="10200"/>
    <n v="3260"/>
    <n v="9245"/>
    <n v="5974"/>
    <n v="3271"/>
    <n v="8836.44"/>
    <n v="8836.44"/>
    <n v="0"/>
  </r>
  <r>
    <x v="6"/>
    <x v="4"/>
    <n v="4000"/>
    <n v="0"/>
    <n v="4000"/>
    <n v="3702"/>
    <n v="3702"/>
    <n v="0"/>
    <n v="7101.26"/>
    <n v="4324.09"/>
    <n v="2777.17"/>
  </r>
  <r>
    <x v="6"/>
    <x v="5"/>
    <n v="7184"/>
    <n v="7184"/>
    <n v="0"/>
    <n v="5820"/>
    <n v="2359"/>
    <n v="3461"/>
    <n v="5844.52"/>
    <n v="3245.5"/>
    <n v="2599.02"/>
  </r>
  <r>
    <x v="6"/>
    <x v="6"/>
    <n v="4300"/>
    <n v="4300"/>
    <n v="0"/>
    <n v="10458"/>
    <n v="10458"/>
    <n v="0"/>
    <n v="4805.5200000000004"/>
    <n v="4331.18"/>
    <n v="474.34"/>
  </r>
  <r>
    <x v="6"/>
    <x v="7"/>
    <n v="6900"/>
    <n v="6900"/>
    <n v="0"/>
    <n v="5880"/>
    <n v="5880"/>
    <n v="0"/>
    <n v="9761.0300000000007"/>
    <n v="9312.74"/>
    <n v="448.29"/>
  </r>
  <r>
    <x v="6"/>
    <x v="8"/>
    <n v="5348"/>
    <n v="5348"/>
    <n v="0"/>
    <n v="6844"/>
    <n v="6844"/>
    <n v="0"/>
    <n v="3935.32"/>
    <n v="3935.32"/>
    <n v="0"/>
  </r>
  <r>
    <x v="6"/>
    <x v="9"/>
    <n v="6670"/>
    <n v="6670"/>
    <n v="0"/>
    <n v="7189"/>
    <n v="7189"/>
    <n v="0"/>
    <n v="12247.03"/>
    <n v="12247.03"/>
    <n v="0"/>
  </r>
  <r>
    <x v="6"/>
    <x v="10"/>
    <n v="10630"/>
    <n v="5130"/>
    <n v="5500"/>
    <n v="7036"/>
    <n v="7036"/>
    <n v="0"/>
    <n v="7415.76"/>
    <n v="7415.76"/>
    <n v="0"/>
  </r>
  <r>
    <x v="6"/>
    <x v="11"/>
    <n v="8700"/>
    <n v="8700"/>
    <n v="0"/>
    <n v="11947"/>
    <n v="5022"/>
    <n v="6925"/>
    <n v="4553.82"/>
    <n v="4553.82"/>
    <n v="0"/>
  </r>
  <r>
    <x v="6"/>
    <x v="12"/>
    <n v="9300"/>
    <n v="8600"/>
    <n v="700"/>
    <n v="10568"/>
    <n v="10568"/>
    <n v="0"/>
    <n v="9514"/>
    <n v="6839"/>
    <n v="2675"/>
  </r>
  <r>
    <x v="6"/>
    <x v="13"/>
    <n v="6900"/>
    <n v="6500"/>
    <n v="400"/>
    <n v="9520"/>
    <n v="9120"/>
    <n v="400"/>
    <n v="11124.48"/>
    <n v="7057.08"/>
    <n v="4067.4"/>
  </r>
  <r>
    <x v="6"/>
    <x v="14"/>
    <n v="8700"/>
    <n v="8700"/>
    <n v="0"/>
    <n v="8785"/>
    <n v="8785"/>
    <n v="0"/>
    <n v="6831"/>
    <n v="6618"/>
    <n v="213"/>
  </r>
  <r>
    <x v="6"/>
    <x v="15"/>
    <n v="7000"/>
    <n v="7000"/>
    <n v="0"/>
    <n v="8039"/>
    <n v="8039"/>
    <n v="0"/>
    <n v="10591"/>
    <n v="10388"/>
    <n v="203"/>
  </r>
  <r>
    <x v="6"/>
    <x v="16"/>
    <n v="5000"/>
    <n v="5000"/>
    <n v="0"/>
    <n v="5184"/>
    <n v="5184"/>
    <n v="0"/>
    <n v="24644.720000000001"/>
    <n v="24644.720000000001"/>
    <n v="0"/>
  </r>
  <r>
    <x v="6"/>
    <x v="17"/>
    <n v="6400"/>
    <n v="5900"/>
    <n v="500"/>
    <n v="7742"/>
    <n v="5725"/>
    <n v="2017"/>
    <n v="13740.77"/>
    <n v="13740.77"/>
    <n v="0"/>
  </r>
  <r>
    <x v="6"/>
    <x v="18"/>
    <n v="7493"/>
    <n v="4572"/>
    <n v="2921"/>
    <n v="7423"/>
    <n v="4502"/>
    <n v="2921"/>
    <n v="10980.710000000001"/>
    <n v="8482.6"/>
    <n v="2498.11"/>
  </r>
  <r>
    <x v="6"/>
    <x v="19"/>
    <n v="6500"/>
    <n v="6500"/>
    <n v="0"/>
    <n v="6799"/>
    <n v="6799"/>
    <n v="0"/>
    <n v="7949.22"/>
    <n v="4534.43"/>
    <n v="3414.79"/>
  </r>
  <r>
    <x v="6"/>
    <x v="20"/>
    <n v="7200"/>
    <n v="7200"/>
    <n v="0"/>
    <n v="0"/>
    <m/>
    <m/>
    <n v="0"/>
    <m/>
    <m/>
  </r>
  <r>
    <x v="1"/>
    <x v="21"/>
    <s v="TOTAL AOP Planned Volume"/>
    <s v="BOF AOP Planned Volume"/>
    <s v="CSL AOP Planned Volume"/>
    <s v="TOTALSold Volume"/>
    <s v="BOF Sold Volume"/>
    <s v="CSL Sold Volume"/>
    <s v="TOTAL Harvested Volume (MBF)"/>
    <s v="Harvested Vol. BOF"/>
    <s v="Harvested Vol. CSL"/>
  </r>
  <r>
    <x v="7"/>
    <x v="0"/>
    <n v="8756"/>
    <n v="592.79999999999995"/>
    <n v="8163.2"/>
    <n v="38579.9"/>
    <n v="7311.86"/>
    <n v="31268.04"/>
    <n v="14337.04"/>
    <n v="0"/>
    <n v="14337.04"/>
  </r>
  <r>
    <x v="7"/>
    <x v="1"/>
    <n v="25800"/>
    <n v="0"/>
    <n v="25800"/>
    <n v="28965.99"/>
    <n v="11.88"/>
    <n v="28954.11"/>
    <n v="20986"/>
    <n v="18.059999999999999"/>
    <n v="20967.939999999999"/>
  </r>
  <r>
    <x v="7"/>
    <x v="2"/>
    <n v="20000"/>
    <n v="1700"/>
    <n v="18300"/>
    <n v="4257"/>
    <n v="0"/>
    <n v="4257"/>
    <n v="21203.24"/>
    <n v="3.18"/>
    <n v="21200.06"/>
  </r>
  <r>
    <x v="7"/>
    <x v="3"/>
    <n v="34900"/>
    <n v="936"/>
    <n v="33964"/>
    <n v="44558"/>
    <n v="1839.16"/>
    <n v="42718.84"/>
    <n v="32002.69"/>
    <n v="0"/>
    <n v="32002.69"/>
  </r>
  <r>
    <x v="7"/>
    <x v="4"/>
    <n v="28800"/>
    <n v="1968"/>
    <n v="26832"/>
    <n v="30908"/>
    <n v="2105.04"/>
    <n v="28802.959999999999"/>
    <n v="41566.22"/>
    <n v="713.81"/>
    <n v="40852.410000000003"/>
  </r>
  <r>
    <x v="7"/>
    <x v="5"/>
    <n v="31000"/>
    <n v="1382"/>
    <n v="29618"/>
    <n v="23088"/>
    <n v="0"/>
    <n v="23088"/>
    <n v="33946.410000000003"/>
    <n v="2596.0700000000002"/>
    <n v="31350.34"/>
  </r>
  <r>
    <x v="7"/>
    <x v="6"/>
    <n v="19900"/>
    <n v="900"/>
    <n v="19000"/>
    <n v="20623"/>
    <n v="1335.94"/>
    <n v="19287.060000000001"/>
    <n v="27597.37"/>
    <n v="2249.86"/>
    <n v="25347.51"/>
  </r>
  <r>
    <x v="7"/>
    <x v="7"/>
    <n v="28391"/>
    <n v="936.83"/>
    <n v="27454.17"/>
    <n v="16577"/>
    <n v="1124.8499999999999"/>
    <n v="15452.15"/>
    <n v="18760.690000000002"/>
    <n v="837.88"/>
    <n v="17922.810000000001"/>
  </r>
  <r>
    <x v="7"/>
    <x v="8"/>
    <n v="28500"/>
    <n v="3500"/>
    <n v="25000"/>
    <n v="33324"/>
    <n v="1744.91"/>
    <n v="31579.09"/>
    <n v="28889.69"/>
    <n v="1073.3499999999999"/>
    <n v="27816.34"/>
  </r>
  <r>
    <x v="7"/>
    <x v="9"/>
    <n v="24402"/>
    <n v="5118.32"/>
    <n v="19283.68"/>
    <n v="31272"/>
    <n v="2176"/>
    <n v="29096"/>
    <n v="33331.240000000005"/>
    <n v="388.48"/>
    <n v="32942.76"/>
  </r>
  <r>
    <x v="7"/>
    <x v="10"/>
    <n v="24538"/>
    <n v="425.5"/>
    <n v="24112.5"/>
    <n v="31178"/>
    <n v="5926.79"/>
    <n v="25251.21"/>
    <n v="12787"/>
    <n v="1707.82"/>
    <n v="11079.18"/>
  </r>
  <r>
    <x v="7"/>
    <x v="11"/>
    <n v="23314"/>
    <n v="7018.36"/>
    <n v="16295.64"/>
    <n v="9270"/>
    <n v="693"/>
    <n v="8577"/>
    <n v="23408.050000000003"/>
    <n v="3002.72"/>
    <n v="20405.330000000002"/>
  </r>
  <r>
    <x v="7"/>
    <x v="12"/>
    <n v="21400"/>
    <n v="2167"/>
    <n v="19233"/>
    <n v="27496"/>
    <n v="5437"/>
    <n v="22059"/>
    <n v="19938"/>
    <n v="5301"/>
    <n v="14637"/>
  </r>
  <r>
    <x v="7"/>
    <x v="13"/>
    <n v="30045.75"/>
    <n v="284.75"/>
    <n v="29761"/>
    <n v="33901.092499999999"/>
    <n v="395.80250000000001"/>
    <n v="33505.29"/>
    <n v="21069.309999999998"/>
    <n v="2326.9899999999998"/>
    <n v="18742.32"/>
  </r>
  <r>
    <x v="7"/>
    <x v="14"/>
    <n v="25120"/>
    <n v="116.1"/>
    <n v="25003.9"/>
    <n v="22832"/>
    <n v="67.08"/>
    <n v="22764.92"/>
    <n v="17774"/>
    <n v="1729"/>
    <n v="16045"/>
  </r>
  <r>
    <x v="7"/>
    <x v="15"/>
    <n v="27614"/>
    <n v="4410"/>
    <n v="23204"/>
    <n v="22445"/>
    <n v="5019"/>
    <n v="17426"/>
    <n v="30544"/>
    <n v="2671"/>
    <n v="27873"/>
  </r>
  <r>
    <x v="7"/>
    <x v="16"/>
    <n v="0"/>
    <n v="0"/>
    <n v="0"/>
    <n v="0"/>
    <n v="0"/>
    <n v="0"/>
    <n v="29420.32"/>
    <n v="96.32"/>
    <n v="29324"/>
  </r>
  <r>
    <x v="7"/>
    <x v="17"/>
    <n v="13956"/>
    <n v="1839"/>
    <n v="12117"/>
    <n v="11458"/>
    <n v="1684"/>
    <n v="9774"/>
    <n v="4514.2700000000004"/>
    <n v="0"/>
    <n v="4514.2700000000004"/>
  </r>
  <r>
    <x v="7"/>
    <x v="18"/>
    <n v="10300"/>
    <n v="760"/>
    <n v="9540"/>
    <n v="6703"/>
    <n v="0"/>
    <n v="6703"/>
    <n v="6956.86"/>
    <n v="0"/>
    <n v="6956.86"/>
  </r>
  <r>
    <x v="7"/>
    <x v="19"/>
    <n v="13000"/>
    <n v="2600"/>
    <n v="10400"/>
    <n v="1961"/>
    <n v="0"/>
    <n v="1961"/>
    <n v="8289.49"/>
    <n v="35.46"/>
    <n v="8254.0300000000007"/>
  </r>
  <r>
    <x v="7"/>
    <x v="20"/>
    <n v="11100"/>
    <n v="990"/>
    <n v="10110"/>
    <n v="0"/>
    <m/>
    <m/>
    <n v="0"/>
    <m/>
    <m/>
  </r>
  <r>
    <x v="1"/>
    <x v="21"/>
    <s v="TOTAL AOP Planned Volume"/>
    <s v="BOF AOP Planned Volume"/>
    <s v="CSL AOP Planned Volume"/>
    <s v="TOTALSold Volume"/>
    <s v="BOF Sold Volume"/>
    <s v="CSL Sold Volume"/>
    <s v="TOTAL Harvested Volume (MBF)"/>
    <s v="Harvested Vol. BOF"/>
    <s v="Harvested Vol. CSL"/>
  </r>
  <r>
    <x v="8"/>
    <x v="0"/>
    <n v="0"/>
    <n v="0"/>
    <n v="0"/>
    <n v="3198"/>
    <n v="3198"/>
    <n v="0"/>
    <n v="224.6"/>
    <n v="206.53"/>
    <n v="18.07"/>
  </r>
  <r>
    <x v="8"/>
    <x v="1"/>
    <n v="4501"/>
    <n v="4000"/>
    <n v="501"/>
    <n v="1821"/>
    <n v="1821"/>
    <n v="0"/>
    <n v="119.01"/>
    <n v="119.01"/>
    <n v="0"/>
  </r>
  <r>
    <x v="8"/>
    <x v="2"/>
    <n v="830"/>
    <n v="830"/>
    <n v="0"/>
    <n v="3244"/>
    <n v="2803"/>
    <n v="441"/>
    <n v="1128.6300000000001"/>
    <n v="1128.6300000000001"/>
    <n v="0"/>
  </r>
  <r>
    <x v="8"/>
    <x v="3"/>
    <n v="1630"/>
    <n v="1630"/>
    <n v="0"/>
    <n v="1745"/>
    <n v="1745"/>
    <n v="0"/>
    <n v="3845.29"/>
    <n v="3697.94"/>
    <n v="147.35"/>
  </r>
  <r>
    <x v="8"/>
    <x v="4"/>
    <n v="7349"/>
    <n v="5822"/>
    <n v="1527"/>
    <n v="4308"/>
    <n v="2835"/>
    <n v="1473"/>
    <n v="1280.55"/>
    <n v="1246.44"/>
    <n v="34.11"/>
  </r>
  <r>
    <x v="8"/>
    <x v="5"/>
    <n v="0"/>
    <n v="0"/>
    <n v="0"/>
    <n v="4191"/>
    <n v="3238"/>
    <n v="953"/>
    <n v="1538"/>
    <n v="1403.95"/>
    <n v="134.05000000000001"/>
  </r>
  <r>
    <x v="8"/>
    <x v="6"/>
    <n v="0"/>
    <n v="0"/>
    <n v="0"/>
    <n v="0"/>
    <n v="0"/>
    <n v="0"/>
    <n v="3138.94"/>
    <n v="2344.5700000000002"/>
    <n v="794.37"/>
  </r>
  <r>
    <x v="8"/>
    <x v="7"/>
    <n v="320"/>
    <n v="0"/>
    <n v="320"/>
    <n v="0"/>
    <n v="0"/>
    <n v="0"/>
    <n v="2001.63"/>
    <n v="1800.66"/>
    <n v="200.97"/>
  </r>
  <r>
    <x v="8"/>
    <x v="8"/>
    <n v="2190"/>
    <n v="1190"/>
    <n v="1000"/>
    <n v="960"/>
    <n v="0"/>
    <n v="960"/>
    <n v="1246.98"/>
    <n v="0"/>
    <n v="1246.98"/>
  </r>
  <r>
    <x v="8"/>
    <x v="9"/>
    <n v="500"/>
    <n v="0"/>
    <n v="500"/>
    <n v="1039"/>
    <n v="1039"/>
    <n v="0"/>
    <n v="1396.31"/>
    <n v="0"/>
    <n v="1396.31"/>
  </r>
  <r>
    <x v="8"/>
    <x v="10"/>
    <n v="4305"/>
    <n v="4305"/>
    <n v="0"/>
    <n v="1406"/>
    <n v="959"/>
    <n v="447"/>
    <n v="1243.33"/>
    <n v="1243.33"/>
    <n v="0"/>
  </r>
  <r>
    <x v="8"/>
    <x v="11"/>
    <n v="1071"/>
    <n v="1071"/>
    <n v="0"/>
    <n v="2020"/>
    <n v="2020"/>
    <n v="0"/>
    <n v="1847.69"/>
    <n v="1236.32"/>
    <n v="611.37"/>
  </r>
  <r>
    <x v="8"/>
    <x v="12"/>
    <n v="1800"/>
    <n v="1800"/>
    <n v="0"/>
    <n v="3117"/>
    <n v="3117"/>
    <n v="0"/>
    <n v="770"/>
    <n v="740"/>
    <n v="30"/>
  </r>
  <r>
    <x v="8"/>
    <x v="13"/>
    <n v="1265"/>
    <n v="1265"/>
    <n v="0"/>
    <n v="1663"/>
    <n v="1663"/>
    <n v="0"/>
    <n v="2631.95"/>
    <n v="2631.95"/>
    <n v="0"/>
  </r>
  <r>
    <x v="8"/>
    <x v="14"/>
    <n v="3200"/>
    <n v="500"/>
    <n v="2700"/>
    <n v="2249"/>
    <n v="547"/>
    <n v="1702"/>
    <n v="1695"/>
    <n v="1695"/>
    <n v="0"/>
  </r>
  <r>
    <x v="8"/>
    <x v="15"/>
    <n v="1585"/>
    <n v="925"/>
    <n v="660"/>
    <n v="2326"/>
    <n v="1337"/>
    <n v="989"/>
    <n v="1250"/>
    <n v="1250"/>
    <n v="0"/>
  </r>
  <r>
    <x v="8"/>
    <x v="16"/>
    <n v="2000"/>
    <n v="0"/>
    <n v="2000"/>
    <n v="1458"/>
    <m/>
    <n v="1458"/>
    <n v="3200.26"/>
    <n v="1680.51"/>
    <n v="1519.75"/>
  </r>
  <r>
    <x v="8"/>
    <x v="17"/>
    <n v="2126"/>
    <n v="1342"/>
    <n v="784"/>
    <n v="2149"/>
    <n v="1750"/>
    <n v="399"/>
    <n v="3802.0299999999997"/>
    <n v="1310.91"/>
    <n v="2491.12"/>
  </r>
  <r>
    <x v="8"/>
    <x v="18"/>
    <n v="1730"/>
    <n v="1730"/>
    <n v="0"/>
    <n v="1936"/>
    <n v="1936"/>
    <n v="0"/>
    <n v="1291.8400000000001"/>
    <n v="766.71"/>
    <n v="525.13"/>
  </r>
  <r>
    <x v="8"/>
    <x v="19"/>
    <n v="1662"/>
    <n v="1662"/>
    <n v="0"/>
    <n v="1447"/>
    <n v="1447"/>
    <n v="0"/>
    <n v="1596.6"/>
    <n v="1311.78"/>
    <n v="284.82"/>
  </r>
  <r>
    <x v="8"/>
    <x v="20"/>
    <n v="2845"/>
    <n v="840"/>
    <n v="2005"/>
    <n v="0"/>
    <m/>
    <m/>
    <n v="0"/>
    <m/>
    <m/>
  </r>
  <r>
    <x v="1"/>
    <x v="21"/>
    <s v="TOTAL AOP Planned Volume"/>
    <s v="BOF AOP Planned Volume"/>
    <s v="CSL AOP Planned Volume"/>
    <s v="TOTALSold Volume"/>
    <s v="BOF Sold Volume"/>
    <s v="CSL Sold Volume"/>
    <s v="TOTAL Harvested Volume (MBF)"/>
    <s v="Harvested Vol. BOF"/>
    <s v="Harvested Vol. CSL"/>
  </r>
  <r>
    <x v="9"/>
    <x v="0"/>
    <n v="5100"/>
    <n v="5100"/>
    <n v="0"/>
    <n v="0"/>
    <n v="0"/>
    <n v="0"/>
    <n v="7991.18"/>
    <n v="7474.08"/>
    <n v="517.1"/>
  </r>
  <r>
    <x v="9"/>
    <x v="1"/>
    <n v="2300"/>
    <n v="200"/>
    <n v="2100"/>
    <n v="5787"/>
    <n v="5787"/>
    <n v="0"/>
    <n v="915.95"/>
    <n v="214.45"/>
    <n v="701.5"/>
  </r>
  <r>
    <x v="9"/>
    <x v="2"/>
    <n v="5600"/>
    <n v="5600"/>
    <n v="0"/>
    <n v="1812"/>
    <n v="0"/>
    <n v="1812"/>
    <n v="1721.96"/>
    <n v="1721.96"/>
    <n v="0"/>
  </r>
  <r>
    <x v="9"/>
    <x v="3"/>
    <n v="3700"/>
    <n v="2800"/>
    <n v="900"/>
    <n v="11248"/>
    <n v="10527"/>
    <n v="721"/>
    <n v="1409.65"/>
    <n v="1409.65"/>
    <n v="0"/>
  </r>
  <r>
    <x v="9"/>
    <x v="4"/>
    <n v="8300"/>
    <n v="8300"/>
    <n v="0"/>
    <n v="9917"/>
    <n v="9917"/>
    <n v="0"/>
    <n v="8206.8799999999992"/>
    <n v="6033.19"/>
    <n v="2173.69"/>
  </r>
  <r>
    <x v="9"/>
    <x v="5"/>
    <n v="3900"/>
    <n v="3900"/>
    <n v="0"/>
    <n v="0"/>
    <n v="0"/>
    <n v="0"/>
    <n v="13476.66"/>
    <n v="13474.63"/>
    <n v="2.0299999999999998"/>
  </r>
  <r>
    <x v="9"/>
    <x v="6"/>
    <n v="7500"/>
    <n v="1900"/>
    <n v="5600"/>
    <n v="6780"/>
    <n v="6780"/>
    <n v="0"/>
    <n v="12674.41"/>
    <n v="11706.71"/>
    <n v="967.7"/>
  </r>
  <r>
    <x v="9"/>
    <x v="7"/>
    <n v="7860"/>
    <n v="7100"/>
    <n v="760"/>
    <n v="6420"/>
    <n v="1746"/>
    <n v="4674"/>
    <n v="2841.18"/>
    <n v="2841.18"/>
    <n v="0"/>
  </r>
  <r>
    <x v="9"/>
    <x v="8"/>
    <n v="11900"/>
    <n v="11900"/>
    <n v="0"/>
    <n v="18261"/>
    <n v="17410"/>
    <n v="851"/>
    <n v="2181.2199999999998"/>
    <n v="2181.2199999999998"/>
    <n v="0"/>
  </r>
  <r>
    <x v="9"/>
    <x v="9"/>
    <n v="7388"/>
    <n v="7388"/>
    <n v="0"/>
    <n v="1162"/>
    <n v="1162"/>
    <n v="0"/>
    <n v="21790.48"/>
    <n v="17350.37"/>
    <n v="4440.1099999999997"/>
  </r>
  <r>
    <x v="9"/>
    <x v="10"/>
    <n v="7200"/>
    <n v="7200"/>
    <n v="0"/>
    <n v="11275"/>
    <n v="11275"/>
    <m/>
    <n v="8220.67"/>
    <n v="4508.95"/>
    <n v="3711.72"/>
  </r>
  <r>
    <x v="9"/>
    <x v="11"/>
    <n v="6300"/>
    <n v="5200"/>
    <n v="1100"/>
    <n v="7961"/>
    <n v="7961"/>
    <n v="0"/>
    <n v="8725.24"/>
    <n v="8725.24"/>
    <n v="0"/>
  </r>
  <r>
    <x v="9"/>
    <x v="12"/>
    <n v="6000"/>
    <n v="6000"/>
    <n v="0"/>
    <n v="14683"/>
    <n v="11938"/>
    <n v="2745"/>
    <n v="7947"/>
    <n v="7947"/>
    <n v="0"/>
  </r>
  <r>
    <x v="9"/>
    <x v="13"/>
    <n v="7196"/>
    <n v="4964"/>
    <n v="2232"/>
    <n v="7793"/>
    <n v="5005.79"/>
    <n v="2787.21"/>
    <n v="9329.9"/>
    <n v="6855.07"/>
    <n v="2474.83"/>
  </r>
  <r>
    <x v="9"/>
    <x v="14"/>
    <n v="6300"/>
    <n v="4900"/>
    <n v="1400"/>
    <n v="7866"/>
    <n v="5970"/>
    <n v="1896"/>
    <n v="12164"/>
    <n v="8745"/>
    <n v="3419"/>
  </r>
  <r>
    <x v="9"/>
    <x v="15"/>
    <n v="4930"/>
    <n v="4930"/>
    <n v="0"/>
    <n v="14862"/>
    <n v="14862"/>
    <n v="0"/>
    <n v="18601"/>
    <n v="17924"/>
    <n v="677"/>
  </r>
  <r>
    <x v="9"/>
    <x v="16"/>
    <n v="3600"/>
    <n v="3600"/>
    <n v="0"/>
    <n v="2658"/>
    <n v="2658"/>
    <m/>
    <n v="14004.94"/>
    <n v="13725.01"/>
    <n v="279.93"/>
  </r>
  <r>
    <x v="9"/>
    <x v="17"/>
    <n v="14087"/>
    <n v="12687"/>
    <n v="1400"/>
    <n v="11042"/>
    <n v="9547"/>
    <n v="1495"/>
    <n v="12646.59"/>
    <n v="10899.88"/>
    <n v="1746.71"/>
  </r>
  <r>
    <x v="9"/>
    <x v="18"/>
    <n v="4322"/>
    <n v="4322"/>
    <n v="0"/>
    <n v="3456"/>
    <n v="3456"/>
    <n v="0"/>
    <n v="8760"/>
    <n v="8760"/>
    <n v="0"/>
  </r>
  <r>
    <x v="9"/>
    <x v="19"/>
    <n v="8000"/>
    <n v="7100"/>
    <n v="900"/>
    <n v="5532"/>
    <n v="3894.11"/>
    <n v="1637.89"/>
    <n v="17487.88"/>
    <n v="16101.5"/>
    <n v="1386.38"/>
  </r>
  <r>
    <x v="9"/>
    <x v="20"/>
    <n v="5192"/>
    <n v="5192"/>
    <n v="0"/>
    <n v="0"/>
    <m/>
    <m/>
    <n v="0"/>
    <m/>
    <m/>
  </r>
  <r>
    <x v="1"/>
    <x v="21"/>
    <s v="TOTAL AOP Planned Volume"/>
    <s v="BOF AOP Planned Volume"/>
    <s v="CSL AOP Planned Volume"/>
    <s v="TOTALSold Volume"/>
    <s v="BOF Sold Volume"/>
    <s v="CSL Sold Volume"/>
    <s v="TOTAL Harvested Volume (MBF)"/>
    <s v="Harvested Vol. BOF"/>
    <s v="Harvested Vol. CSL"/>
  </r>
  <r>
    <x v="10"/>
    <x v="0"/>
    <n v="40697"/>
    <n v="40697"/>
    <n v="0"/>
    <n v="86134.14"/>
    <n v="80129.62"/>
    <n v="6004.52"/>
    <n v="69104.98"/>
    <n v="69102.02"/>
    <n v="2.96"/>
  </r>
  <r>
    <x v="10"/>
    <x v="1"/>
    <n v="105700"/>
    <n v="105700"/>
    <n v="0"/>
    <n v="122115"/>
    <n v="119903.45999999999"/>
    <n v="2211.54"/>
    <n v="118531.81"/>
    <n v="115934.65"/>
    <n v="2597.16"/>
  </r>
  <r>
    <x v="10"/>
    <x v="2"/>
    <n v="110985"/>
    <n v="110654"/>
    <n v="331"/>
    <n v="84084.65"/>
    <n v="84032"/>
    <n v="52.65"/>
    <n v="72594.23"/>
    <n v="72217.600000000006"/>
    <n v="376.63"/>
  </r>
  <r>
    <x v="10"/>
    <x v="3"/>
    <n v="122935"/>
    <n v="122215"/>
    <n v="720"/>
    <n v="146670.79999999999"/>
    <n v="146407.35"/>
    <n v="263.45"/>
    <n v="104260.91"/>
    <n v="103422.36"/>
    <n v="838.55"/>
  </r>
  <r>
    <x v="10"/>
    <x v="4"/>
    <n v="170049"/>
    <n v="167153"/>
    <n v="2896"/>
    <n v="145621"/>
    <n v="144525.79999999999"/>
    <n v="1095.2"/>
    <n v="164242.35"/>
    <n v="163535.64000000001"/>
    <n v="706.71"/>
  </r>
  <r>
    <x v="10"/>
    <x v="5"/>
    <n v="159650"/>
    <n v="157110.54999999999"/>
    <n v="2539.4499999999998"/>
    <n v="150032"/>
    <n v="148100.22"/>
    <n v="1931.78"/>
    <n v="150376.53999999998"/>
    <n v="150006.53999999998"/>
    <n v="370"/>
  </r>
  <r>
    <x v="10"/>
    <x v="6"/>
    <n v="144900"/>
    <n v="144900"/>
    <n v="0"/>
    <n v="156707"/>
    <n v="156707"/>
    <n v="0"/>
    <n v="175344.55"/>
    <n v="175073.37"/>
    <n v="271.18"/>
  </r>
  <r>
    <x v="10"/>
    <x v="7"/>
    <n v="161296"/>
    <n v="161076"/>
    <n v="220"/>
    <n v="197233"/>
    <n v="195729.13"/>
    <n v="1503.8700000000001"/>
    <n v="204876.63999999998"/>
    <n v="203250.34"/>
    <n v="1626.3"/>
  </r>
  <r>
    <x v="10"/>
    <x v="8"/>
    <n v="206810"/>
    <n v="206700"/>
    <n v="110"/>
    <n v="233379"/>
    <n v="233042.48"/>
    <n v="336.52"/>
    <n v="194292.27"/>
    <n v="193049.06"/>
    <n v="1243.21"/>
  </r>
  <r>
    <x v="10"/>
    <x v="9"/>
    <n v="193540"/>
    <n v="191472"/>
    <n v="2068"/>
    <n v="169399"/>
    <n v="169399"/>
    <n v="0"/>
    <n v="203546.48999999996"/>
    <n v="202765.05999999997"/>
    <n v="781.43"/>
  </r>
  <r>
    <x v="10"/>
    <x v="10"/>
    <n v="242632"/>
    <n v="240631.2"/>
    <n v="2000.8"/>
    <n v="221222.91999999998"/>
    <n v="213930.6"/>
    <n v="7292.32"/>
    <n v="224973.12999999998"/>
    <n v="224163.23"/>
    <n v="809.9"/>
  </r>
  <r>
    <x v="10"/>
    <x v="11"/>
    <n v="172800"/>
    <n v="170469"/>
    <n v="2331"/>
    <n v="208531"/>
    <n v="208531"/>
    <n v="0"/>
    <n v="197002.33000000002"/>
    <n v="193047.11"/>
    <n v="3955.2200000000003"/>
  </r>
  <r>
    <x v="10"/>
    <x v="12"/>
    <n v="167700"/>
    <n v="167040"/>
    <n v="660"/>
    <n v="169382"/>
    <n v="165372"/>
    <n v="4010"/>
    <n v="194512"/>
    <n v="190440"/>
    <n v="4072"/>
  </r>
  <r>
    <x v="10"/>
    <x v="13"/>
    <n v="175145"/>
    <n v="173025"/>
    <n v="2120"/>
    <n v="168781"/>
    <n v="166977.46000000002"/>
    <n v="1803.54"/>
    <n v="194477.57"/>
    <n v="193049.35"/>
    <n v="1428.2199999999998"/>
  </r>
  <r>
    <x v="10"/>
    <x v="14"/>
    <n v="158766"/>
    <n v="158766"/>
    <n v="0"/>
    <n v="164854"/>
    <n v="164854"/>
    <n v="0"/>
    <n v="216108.06"/>
    <n v="214970"/>
    <n v="1138.06"/>
  </r>
  <r>
    <x v="10"/>
    <x v="15"/>
    <n v="170339.5"/>
    <n v="169999"/>
    <n v="340.5"/>
    <n v="160016"/>
    <n v="159725"/>
    <n v="291"/>
    <n v="175987"/>
    <n v="174043"/>
    <n v="1944"/>
  </r>
  <r>
    <x v="10"/>
    <x v="16"/>
    <n v="183041"/>
    <n v="183041"/>
    <n v="0"/>
    <n v="182160"/>
    <n v="182160"/>
    <n v="0"/>
    <n v="153449.51999999999"/>
    <n v="153211.76999999999"/>
    <n v="237.75"/>
  </r>
  <r>
    <x v="10"/>
    <x v="17"/>
    <n v="179400"/>
    <n v="178946"/>
    <n v="454"/>
    <n v="181483"/>
    <n v="180991.66999999998"/>
    <n v="491.33"/>
    <n v="187899.06"/>
    <n v="187872.76"/>
    <n v="26.3"/>
  </r>
  <r>
    <x v="10"/>
    <x v="18"/>
    <n v="171948"/>
    <n v="171948"/>
    <n v="0"/>
    <n v="163230"/>
    <n v="163230"/>
    <n v="0"/>
    <n v="177165.62"/>
    <n v="177156.55"/>
    <n v="9.07"/>
  </r>
  <r>
    <x v="10"/>
    <x v="19"/>
    <n v="176630"/>
    <n v="175747"/>
    <n v="883"/>
    <n v="179598.7"/>
    <n v="178428.56"/>
    <n v="1170.1400000000001"/>
    <n v="207071.94"/>
    <n v="206571.30000000002"/>
    <n v="500.64"/>
  </r>
  <r>
    <x v="10"/>
    <x v="20"/>
    <n v="179954"/>
    <n v="179462"/>
    <n v="492"/>
    <n v="0"/>
    <n v="0"/>
    <n v="0"/>
    <n v="0"/>
    <n v="0"/>
    <n v="0"/>
  </r>
  <r>
    <x v="1"/>
    <x v="21"/>
    <s v="TOTAL AOP Planned Volume"/>
    <s v="BOF AOP Planned Volume"/>
    <s v="CSL AOP Planned Volume"/>
    <s v="TOTALSold Volume"/>
    <s v="BOF Sold Volume"/>
    <s v="CSL Sold Volume"/>
    <s v="TOTAL Harvested Volume (MBF)"/>
    <s v="Harvested Vol. BOF"/>
    <s v="Harvested Vol. CSL"/>
  </r>
  <r>
    <x v="11"/>
    <x v="0"/>
    <n v="64921"/>
    <n v="64790.35"/>
    <n v="130.65"/>
    <n v="111887.25"/>
    <n v="104804.36"/>
    <n v="7082.8899999999994"/>
    <n v="86637.670000000013"/>
    <n v="82288.58"/>
    <n v="4349.09"/>
  </r>
  <r>
    <x v="11"/>
    <x v="1"/>
    <n v="144000"/>
    <n v="141107"/>
    <n v="2893"/>
    <n v="177019"/>
    <n v="172920.4"/>
    <n v="4098.6000000000004"/>
    <n v="141326.09"/>
    <n v="138019.31"/>
    <n v="3306.7799999999997"/>
  </r>
  <r>
    <x v="11"/>
    <x v="2"/>
    <n v="150535"/>
    <n v="145736"/>
    <n v="4799"/>
    <n v="96634.65"/>
    <n v="93627.790000000008"/>
    <n v="3006.86"/>
    <n v="102194.84"/>
    <n v="101333.94"/>
    <n v="860.9"/>
  </r>
  <r>
    <x v="11"/>
    <x v="3"/>
    <n v="145835"/>
    <n v="143433"/>
    <n v="2402"/>
    <n v="188336.8"/>
    <n v="184677.06"/>
    <n v="3659.7400000000002"/>
    <n v="161798.23000000001"/>
    <n v="155951.69"/>
    <n v="5846.54"/>
  </r>
  <r>
    <x v="11"/>
    <x v="4"/>
    <n v="207715"/>
    <n v="202267"/>
    <n v="5448"/>
    <n v="190779.7"/>
    <n v="188712.77000000002"/>
    <n v="2066.9300000000003"/>
    <n v="205724.79999999999"/>
    <n v="201847.47"/>
    <n v="3877.33"/>
  </r>
  <r>
    <x v="11"/>
    <x v="5"/>
    <n v="184680"/>
    <n v="180405.55"/>
    <n v="4274.45"/>
    <n v="176235"/>
    <n v="171903.88"/>
    <n v="4331.12"/>
    <n v="173889.65000000002"/>
    <n v="172348.47000000003"/>
    <n v="1541.1799999999998"/>
  </r>
  <r>
    <x v="11"/>
    <x v="6"/>
    <n v="178228"/>
    <n v="177642"/>
    <n v="586"/>
    <n v="199059"/>
    <n v="197764.55"/>
    <n v="1294.45"/>
    <n v="214472.49999999997"/>
    <n v="212025.31999999998"/>
    <n v="2447.1800000000003"/>
  </r>
  <r>
    <x v="11"/>
    <x v="7"/>
    <n v="195585"/>
    <n v="193988"/>
    <n v="1597"/>
    <n v="228202"/>
    <n v="225504.43000000002"/>
    <n v="2697.57"/>
    <n v="254218.66999999998"/>
    <n v="248052.3"/>
    <n v="6166.37"/>
  </r>
  <r>
    <x v="11"/>
    <x v="8"/>
    <n v="251977"/>
    <n v="249096"/>
    <n v="2881"/>
    <n v="268458"/>
    <n v="265789.59999999998"/>
    <n v="2668.4"/>
    <n v="239491.30000000002"/>
    <n v="236131.49"/>
    <n v="3359.81"/>
  </r>
  <r>
    <x v="11"/>
    <x v="9"/>
    <n v="230230"/>
    <n v="226932"/>
    <n v="3298"/>
    <n v="213209"/>
    <n v="211243.57"/>
    <n v="1965.43"/>
    <n v="267243.32999999996"/>
    <n v="263916.13"/>
    <n v="3327.2"/>
  </r>
  <r>
    <x v="11"/>
    <x v="10"/>
    <n v="286312"/>
    <n v="277865.2"/>
    <n v="8446.7999999999993"/>
    <n v="267926.92"/>
    <n v="258887.7"/>
    <n v="9039.2200000000012"/>
    <n v="272490.2"/>
    <n v="269448.24"/>
    <n v="3041.96"/>
  </r>
  <r>
    <x v="11"/>
    <x v="11"/>
    <n v="205870"/>
    <n v="200988"/>
    <n v="4882"/>
    <n v="247287"/>
    <n v="238837"/>
    <n v="8450"/>
    <n v="237500.45"/>
    <n v="231433.55"/>
    <n v="6066.9000000000005"/>
  </r>
  <r>
    <x v="11"/>
    <x v="12"/>
    <n v="201700"/>
    <n v="196871"/>
    <n v="4829"/>
    <n v="206698"/>
    <n v="199528"/>
    <n v="7170"/>
    <n v="230897"/>
    <n v="222591"/>
    <n v="8306"/>
  </r>
  <r>
    <x v="11"/>
    <x v="13"/>
    <n v="210533"/>
    <n v="205725"/>
    <n v="4808"/>
    <n v="208052"/>
    <n v="203257.86"/>
    <n v="4794.1399999999994"/>
    <n v="233170.19"/>
    <n v="225099.73"/>
    <n v="8070.4600000000009"/>
  </r>
  <r>
    <x v="11"/>
    <x v="14"/>
    <n v="192001"/>
    <n v="189445"/>
    <n v="2556"/>
    <n v="200303"/>
    <n v="198348.24"/>
    <n v="1954.76"/>
    <n v="261320.74"/>
    <n v="255972.68"/>
    <n v="5348.06"/>
  </r>
  <r>
    <x v="11"/>
    <x v="15"/>
    <n v="201839.5"/>
    <n v="198974"/>
    <n v="2865.5"/>
    <n v="191819"/>
    <n v="189347"/>
    <n v="2472"/>
    <n v="221282"/>
    <n v="217716"/>
    <n v="3566"/>
  </r>
  <r>
    <x v="11"/>
    <x v="16"/>
    <n v="209841"/>
    <n v="208591"/>
    <n v="1250"/>
    <n v="210608"/>
    <n v="209285.7"/>
    <n v="1322.3"/>
    <n v="216315.52000000002"/>
    <n v="214405.15999999997"/>
    <n v="1910.36"/>
  </r>
  <r>
    <x v="11"/>
    <x v="17"/>
    <n v="207776"/>
    <n v="205850"/>
    <n v="1926"/>
    <n v="217021.98"/>
    <n v="212970.87"/>
    <n v="4051.11"/>
    <n v="219601.12"/>
    <n v="217276.97999999998"/>
    <n v="2324.1400000000003"/>
  </r>
  <r>
    <x v="11"/>
    <x v="18"/>
    <n v="220461"/>
    <n v="215750.1"/>
    <n v="4710.8999999999996"/>
    <n v="199802"/>
    <n v="196420.16899999999"/>
    <n v="3381.8310000000001"/>
    <n v="214812.94999999998"/>
    <n v="211331.72"/>
    <n v="3481.23"/>
  </r>
  <r>
    <x v="11"/>
    <x v="19"/>
    <n v="215330"/>
    <n v="209234"/>
    <n v="6096"/>
    <n v="219675.7"/>
    <n v="213188.75599999999"/>
    <n v="6486.9440000000004"/>
    <n v="246800.58999999997"/>
    <n v="241452.77"/>
    <n v="5347.8200000000006"/>
  </r>
  <r>
    <x v="11"/>
    <x v="20"/>
    <n v="221354"/>
    <n v="218589"/>
    <n v="2765"/>
    <n v="0"/>
    <n v="0"/>
    <n v="0"/>
    <n v="0"/>
    <n v="0"/>
    <n v="0"/>
  </r>
  <r>
    <x v="1"/>
    <x v="21"/>
    <s v="TOTAL AOP Planned Volume"/>
    <s v="BOF AOP Planned Volume"/>
    <s v="CSL AOP Planned Volume"/>
    <s v="TOTALSold Volume"/>
    <s v="BOF Sold Volume"/>
    <s v="CSL Sold Volume"/>
    <s v="TOTAL Harvested Volume (MBF)"/>
    <s v="Harvested Vol. BOF"/>
    <s v="Harvested Vol. CSL"/>
  </r>
  <r>
    <x v="12"/>
    <x v="0"/>
    <n v="12056"/>
    <n v="3892.8"/>
    <n v="8163.2"/>
    <n v="44947.9"/>
    <n v="13679.86"/>
    <n v="31268.04"/>
    <n v="15397.650000000001"/>
    <n v="1042.54"/>
    <n v="14355.11"/>
  </r>
  <r>
    <x v="12"/>
    <x v="1"/>
    <n v="34501"/>
    <n v="8200"/>
    <n v="26301"/>
    <n v="36611.990000000005"/>
    <n v="7657.88"/>
    <n v="28954.11"/>
    <n v="21959.01"/>
    <n v="991.06999999999994"/>
    <n v="20967.939999999999"/>
  </r>
  <r>
    <x v="12"/>
    <x v="2"/>
    <n v="20830"/>
    <n v="2530"/>
    <n v="18300"/>
    <n v="7501"/>
    <n v="2803"/>
    <n v="4698"/>
    <n v="24493.99"/>
    <n v="3293.93"/>
    <n v="21200.06"/>
  </r>
  <r>
    <x v="12"/>
    <x v="3"/>
    <n v="49990"/>
    <n v="12766"/>
    <n v="37224"/>
    <n v="55548"/>
    <n v="9558.16"/>
    <n v="45989.84"/>
    <n v="44684.42"/>
    <n v="12534.380000000001"/>
    <n v="32150.039999999997"/>
  </r>
  <r>
    <x v="12"/>
    <x v="4"/>
    <n v="40149"/>
    <n v="7790"/>
    <n v="32359"/>
    <n v="38918"/>
    <n v="8642.0400000000009"/>
    <n v="30275.96"/>
    <n v="49948.030000000006"/>
    <n v="6284.34"/>
    <n v="43663.69"/>
  </r>
  <r>
    <x v="12"/>
    <x v="5"/>
    <n v="38184"/>
    <n v="8566"/>
    <n v="29618"/>
    <n v="33099"/>
    <n v="5597"/>
    <n v="27502"/>
    <n v="41328.930000000008"/>
    <n v="7245.5199999999995"/>
    <n v="34083.410000000003"/>
  </r>
  <r>
    <x v="12"/>
    <x v="6"/>
    <n v="19900"/>
    <n v="900"/>
    <n v="19000"/>
    <n v="20623"/>
    <n v="1335.94"/>
    <n v="19287.060000000001"/>
    <n v="30736.309999999998"/>
    <n v="4594.43"/>
    <n v="26141.879999999997"/>
  </r>
  <r>
    <x v="12"/>
    <x v="7"/>
    <n v="28711"/>
    <n v="936.83"/>
    <n v="27774.17"/>
    <n v="16577"/>
    <n v="1124.8499999999999"/>
    <n v="15452.15"/>
    <n v="20762.320000000003"/>
    <n v="2638.54"/>
    <n v="18123.780000000002"/>
  </r>
  <r>
    <x v="12"/>
    <x v="8"/>
    <n v="30690"/>
    <n v="4690"/>
    <n v="26000"/>
    <n v="34284"/>
    <n v="1744.91"/>
    <n v="32539.09"/>
    <n v="30136.67"/>
    <n v="1073.3499999999999"/>
    <n v="29063.32"/>
  </r>
  <r>
    <x v="12"/>
    <x v="9"/>
    <n v="24902"/>
    <n v="5118.32"/>
    <n v="19783.68"/>
    <n v="32311"/>
    <n v="3215"/>
    <n v="29096"/>
    <n v="34727.550000000003"/>
    <n v="388.48"/>
    <n v="34339.07"/>
  </r>
  <r>
    <x v="12"/>
    <x v="10"/>
    <n v="28843"/>
    <n v="4730.5"/>
    <n v="24112.5"/>
    <n v="32584"/>
    <n v="6885.79"/>
    <n v="25698.21"/>
    <n v="14030.33"/>
    <n v="2951.1499999999996"/>
    <n v="11079.18"/>
  </r>
  <r>
    <x v="12"/>
    <x v="11"/>
    <n v="24385"/>
    <n v="8089.36"/>
    <n v="16295.64"/>
    <n v="11290"/>
    <n v="2713"/>
    <n v="8577"/>
    <n v="25255.74"/>
    <n v="4239.04"/>
    <n v="21016.7"/>
  </r>
  <r>
    <x v="12"/>
    <x v="12"/>
    <n v="23200"/>
    <n v="3967"/>
    <n v="19233"/>
    <n v="30613"/>
    <n v="8554"/>
    <n v="22059"/>
    <n v="20708"/>
    <n v="6041"/>
    <n v="14667"/>
  </r>
  <r>
    <x v="12"/>
    <x v="13"/>
    <n v="31310.75"/>
    <n v="1549.75"/>
    <n v="29761"/>
    <n v="35564.092499999999"/>
    <n v="2058.8024999999998"/>
    <n v="33505.29"/>
    <n v="23701.26"/>
    <n v="4958.9399999999996"/>
    <n v="18742.32"/>
  </r>
  <r>
    <x v="12"/>
    <x v="14"/>
    <n v="28320"/>
    <n v="616.1"/>
    <n v="27703.9"/>
    <n v="25081"/>
    <n v="614.08000000000004"/>
    <n v="24466.92"/>
    <n v="19469"/>
    <n v="3424"/>
    <n v="16045"/>
  </r>
  <r>
    <x v="12"/>
    <x v="15"/>
    <n v="29199"/>
    <n v="5335"/>
    <n v="23864"/>
    <n v="24771"/>
    <n v="6356"/>
    <n v="18415"/>
    <n v="31794"/>
    <n v="3921"/>
    <n v="27873"/>
  </r>
  <r>
    <x v="12"/>
    <x v="16"/>
    <n v="2000"/>
    <n v="0"/>
    <n v="2000"/>
    <n v="1458"/>
    <n v="0"/>
    <n v="1458"/>
    <n v="32620.58"/>
    <n v="1776.83"/>
    <n v="30843.75"/>
  </r>
  <r>
    <x v="12"/>
    <x v="17"/>
    <n v="16082"/>
    <n v="3181"/>
    <n v="12901"/>
    <n v="13607"/>
    <n v="3434"/>
    <n v="10173"/>
    <n v="8316.2999999999993"/>
    <n v="1310.91"/>
    <n v="7005.39"/>
  </r>
  <r>
    <x v="12"/>
    <x v="18"/>
    <n v="12030"/>
    <n v="2490"/>
    <n v="9540"/>
    <n v="8639"/>
    <n v="1936"/>
    <n v="6703"/>
    <n v="8248.7000000000007"/>
    <n v="766.71"/>
    <n v="7481.99"/>
  </r>
  <r>
    <x v="12"/>
    <x v="19"/>
    <n v="14662"/>
    <n v="4262"/>
    <n v="10400"/>
    <n v="3408"/>
    <n v="1447"/>
    <n v="1961"/>
    <n v="9886.09"/>
    <n v="1347.24"/>
    <n v="8538.85"/>
  </r>
  <r>
    <x v="12"/>
    <x v="20"/>
    <n v="13945"/>
    <n v="1830"/>
    <n v="12115"/>
    <n v="0"/>
    <n v="0"/>
    <n v="0"/>
    <n v="0"/>
    <n v="0"/>
    <n v="0"/>
  </r>
</pivotCacheRecords>
</file>

<file path=xl/pivotCache/pivotCacheRecords2.xml><?xml version="1.0" encoding="utf-8"?>
<pivotCacheRecords xmlns="http://schemas.openxmlformats.org/spreadsheetml/2006/main" xmlns:r="http://schemas.openxmlformats.org/officeDocument/2006/relationships" count="33">
  <r>
    <x v="0"/>
    <s v="EOA"/>
    <x v="0"/>
    <s v="01"/>
    <x v="0"/>
    <m/>
    <m/>
    <m/>
    <m/>
    <m/>
    <m/>
    <m/>
    <m/>
    <m/>
    <m/>
    <m/>
    <m/>
    <m/>
    <m/>
    <m/>
    <n v="11"/>
    <m/>
    <m/>
    <m/>
    <m/>
    <m/>
    <m/>
    <m/>
    <n v="0"/>
    <n v="75"/>
    <m/>
    <m/>
    <m/>
    <m/>
    <m/>
    <m/>
    <m/>
    <m/>
    <m/>
    <m/>
    <m/>
    <m/>
    <m/>
    <m/>
    <m/>
    <m/>
    <m/>
    <m/>
    <m/>
    <m/>
    <m/>
    <m/>
    <m/>
    <m/>
    <m/>
    <m/>
    <m/>
    <m/>
    <m/>
    <m/>
    <m/>
    <m/>
    <m/>
    <m/>
    <m/>
    <m/>
    <m/>
    <m/>
    <n v="0"/>
    <n v="0"/>
    <n v="0"/>
    <x v="0"/>
  </r>
  <r>
    <x v="0"/>
    <s v="WIL"/>
    <x v="1"/>
    <s v="02"/>
    <x v="1"/>
    <n v="929"/>
    <n v="297"/>
    <n v="315"/>
    <m/>
    <m/>
    <n v="251"/>
    <n v="2567"/>
    <n v="1720"/>
    <n v="213"/>
    <n v="1621"/>
    <n v="3262"/>
    <n v="6910"/>
    <n v="2692"/>
    <n v="2430"/>
    <n v="4275"/>
    <n v="3127"/>
    <n v="3615"/>
    <n v="3577"/>
    <n v="373"/>
    <n v="2101.81"/>
    <n v="9561.9599999999991"/>
    <n v="4545.8900000000003"/>
    <n v="1161.8"/>
    <n v="9171"/>
    <n v="7784"/>
    <n v="9256"/>
    <n v="4303.8100000000004"/>
    <n v="5749.52"/>
    <n v="7792.24"/>
    <n v="4722.07"/>
    <n v="1038.6099999999999"/>
    <n v="7140.86"/>
    <n v="919.17"/>
    <n v="5445.47"/>
    <n v="4689.8609999999999"/>
    <n v="5312"/>
    <n v="11647"/>
    <n v="8444"/>
    <n v="3571"/>
    <n v="7541"/>
    <n v="8567"/>
    <n v="2538"/>
    <n v="3636"/>
    <n v="4363"/>
    <n v="7066"/>
    <n v="6955.69"/>
    <n v="4650"/>
    <n v="1624"/>
    <n v="5352"/>
    <n v="1602"/>
    <n v="7856.9199999999992"/>
    <n v="5147.6100000000006"/>
    <n v="3722.6"/>
    <n v="2276"/>
    <n v="5801.99"/>
    <n v="12209.78"/>
    <n v="3509.6"/>
    <n v="3235.62"/>
    <n v="7918.12"/>
    <n v="1453.63"/>
    <n v="5899"/>
    <n v="2920.2"/>
    <n v="2392"/>
    <n v="5153.6099999999997"/>
    <n v="3982.81"/>
    <n v="232.63"/>
    <x v="1"/>
  </r>
  <r>
    <x v="0"/>
    <s v="WIL"/>
    <x v="2"/>
    <s v="03"/>
    <x v="2"/>
    <m/>
    <m/>
    <m/>
    <m/>
    <m/>
    <m/>
    <m/>
    <n v="1765"/>
    <n v="882"/>
    <n v="9"/>
    <n v="1812"/>
    <n v="280"/>
    <n v="962"/>
    <n v="22"/>
    <n v="2335"/>
    <n v="3659"/>
    <n v="660"/>
    <n v="1005"/>
    <m/>
    <n v="5"/>
    <n v="777.06"/>
    <m/>
    <n v="1183.4100000000001"/>
    <n v="2395"/>
    <n v="3248"/>
    <n v="313"/>
    <n v="7"/>
    <n v="1191.96"/>
    <n v="4405.04"/>
    <m/>
    <n v="3452.45"/>
    <n v="1963.18"/>
    <n v="5515.04"/>
    <n v="165.03"/>
    <m/>
    <n v="1049"/>
    <n v="12"/>
    <m/>
    <n v="2402"/>
    <n v="4160"/>
    <m/>
    <n v="3069"/>
    <m/>
    <n v="1652"/>
    <m/>
    <m/>
    <m/>
    <m/>
    <m/>
    <n v="421"/>
    <n v="8370"/>
    <n v="7640"/>
    <n v="3296"/>
    <n v="4506"/>
    <n v="4700.72"/>
    <n v="2887.34"/>
    <n v="2210.66"/>
    <n v="2048.34"/>
    <n v="1150.83"/>
    <n v="2048.98"/>
    <m/>
    <n v="2603.4699999999998"/>
    <n v="2478"/>
    <n v="8935.9"/>
    <n v="25.62"/>
    <n v="0"/>
    <x v="2"/>
  </r>
  <r>
    <x v="1"/>
    <s v="NWOA"/>
    <x v="3"/>
    <s v="04"/>
    <x v="3"/>
    <n v="17185"/>
    <n v="2347"/>
    <n v="6272"/>
    <n v="1534"/>
    <n v="10490"/>
    <n v="3300"/>
    <n v="4573"/>
    <n v="18714"/>
    <n v="19500"/>
    <n v="9142"/>
    <n v="27404"/>
    <n v="40648"/>
    <n v="44874"/>
    <n v="25217"/>
    <n v="39753"/>
    <n v="34948"/>
    <n v="31430"/>
    <n v="25399"/>
    <n v="25277"/>
    <n v="44579.02"/>
    <n v="32439.55"/>
    <n v="24278.36"/>
    <n v="19443.59"/>
    <n v="54310"/>
    <n v="62988"/>
    <n v="30488"/>
    <n v="27667.67"/>
    <n v="69292.25"/>
    <n v="46125.15"/>
    <n v="55370.27"/>
    <n v="72413.48"/>
    <n v="60582.9"/>
    <n v="71440.36"/>
    <n v="57767.21"/>
    <n v="75769.952000000005"/>
    <n v="97982"/>
    <n v="84438"/>
    <n v="45498"/>
    <n v="45094"/>
    <n v="90369"/>
    <n v="37010"/>
    <n v="16070"/>
    <n v="24641"/>
    <n v="27468"/>
    <n v="27527"/>
    <n v="41247"/>
    <n v="40021"/>
    <n v="32635"/>
    <n v="56150.16"/>
    <n v="29699"/>
    <n v="39585"/>
    <n v="69200"/>
    <n v="71601.61"/>
    <n v="73061"/>
    <n v="132773.69"/>
    <n v="85613.1"/>
    <n v="94989.25"/>
    <n v="91426.5"/>
    <n v="77779.41"/>
    <n v="89887.73"/>
    <n v="106402"/>
    <n v="83426.640000000014"/>
    <n v="60661"/>
    <n v="60774.02"/>
    <n v="79259.97"/>
    <n v="54713.88"/>
    <x v="3"/>
  </r>
  <r>
    <x v="1"/>
    <s v="NWOA"/>
    <x v="4"/>
    <s v="05"/>
    <x v="4"/>
    <m/>
    <n v="36"/>
    <m/>
    <n v="5"/>
    <m/>
    <m/>
    <m/>
    <n v="200"/>
    <m/>
    <m/>
    <m/>
    <n v="62"/>
    <n v="974"/>
    <n v="673"/>
    <n v="1184"/>
    <n v="1786"/>
    <n v="2547"/>
    <n v="2562"/>
    <n v="1179"/>
    <n v="1598.33"/>
    <n v="210.41"/>
    <n v="678.53"/>
    <n v="475.87"/>
    <n v="3181"/>
    <n v="7801"/>
    <n v="1228"/>
    <n v="1101.4000000000001"/>
    <n v="2880.48"/>
    <n v="1309.0899999999999"/>
    <n v="3960.06"/>
    <n v="5087.83"/>
    <n v="2277.52"/>
    <n v="2576.58"/>
    <n v="4158.4799999999996"/>
    <n v="5768.1509999999998"/>
    <n v="3833"/>
    <n v="5091"/>
    <n v="8860"/>
    <n v="5156"/>
    <n v="6699"/>
    <n v="4588"/>
    <n v="5398"/>
    <m/>
    <n v="3191"/>
    <n v="5137"/>
    <n v="3200"/>
    <n v="2422"/>
    <n v="4327"/>
    <n v="5392.78"/>
    <m/>
    <n v="1559"/>
    <n v="3052"/>
    <n v="1063.94"/>
    <n v="6486"/>
    <n v="2977.94"/>
    <n v="2888.52"/>
    <n v="3606.72"/>
    <n v="3414.73"/>
    <n v="3345.77"/>
    <n v="6846.46"/>
    <n v="1002"/>
    <n v="7981.84"/>
    <n v="-13"/>
    <n v="0"/>
    <n v="1732.02"/>
    <n v="558.02"/>
    <x v="0"/>
  </r>
  <r>
    <x v="2"/>
    <s v="SOA"/>
    <x v="5"/>
    <s v="06"/>
    <x v="5"/>
    <m/>
    <n v="678"/>
    <m/>
    <m/>
    <n v="109"/>
    <n v="297"/>
    <n v="730"/>
    <n v="243"/>
    <n v="878"/>
    <n v="579"/>
    <n v="10796"/>
    <n v="14175"/>
    <n v="27019"/>
    <n v="34067"/>
    <n v="28642"/>
    <n v="53361"/>
    <n v="62462"/>
    <n v="52446"/>
    <n v="28193"/>
    <n v="22097.71"/>
    <n v="33046.839999999997"/>
    <n v="41137.279999999999"/>
    <n v="28036.48"/>
    <n v="42296"/>
    <n v="62161"/>
    <n v="61883"/>
    <n v="35636.97"/>
    <n v="23834.54"/>
    <n v="35596.81"/>
    <n v="64904.12"/>
    <n v="50610.74"/>
    <n v="30074.49"/>
    <n v="36128.959999999999"/>
    <n v="14961.85"/>
    <n v="23158.720000000001"/>
    <n v="16741"/>
    <n v="51919"/>
    <n v="31080"/>
    <n v="23182"/>
    <n v="18690"/>
    <n v="22005"/>
    <n v="20797"/>
    <n v="11273"/>
    <n v="15524"/>
    <n v="21848"/>
    <n v="16918"/>
    <n v="10151"/>
    <n v="13827"/>
    <n v="15027.34"/>
    <n v="19688"/>
    <n v="25557"/>
    <n v="35813.29"/>
    <n v="22968.06"/>
    <n v="22848"/>
    <n v="16048.96"/>
    <n v="22341.919999999998"/>
    <n v="28442.69"/>
    <n v="7859.12"/>
    <n v="16524.670000000002"/>
    <n v="17025.97"/>
    <n v="17015"/>
    <n v="9757.08"/>
    <n v="27000"/>
    <n v="28225.940000000002"/>
    <n v="4304.3599999999997"/>
    <n v="0"/>
    <x v="4"/>
  </r>
  <r>
    <x v="0"/>
    <s v="EOA"/>
    <x v="0"/>
    <s v="07"/>
    <x v="6"/>
    <m/>
    <m/>
    <m/>
    <m/>
    <m/>
    <m/>
    <m/>
    <m/>
    <m/>
    <m/>
    <m/>
    <m/>
    <m/>
    <m/>
    <m/>
    <m/>
    <m/>
    <m/>
    <n v="139"/>
    <n v="32"/>
    <m/>
    <m/>
    <m/>
    <n v="0"/>
    <m/>
    <m/>
    <m/>
    <m/>
    <m/>
    <m/>
    <m/>
    <n v="1"/>
    <m/>
    <m/>
    <m/>
    <m/>
    <m/>
    <m/>
    <m/>
    <m/>
    <m/>
    <m/>
    <m/>
    <m/>
    <m/>
    <m/>
    <m/>
    <m/>
    <m/>
    <m/>
    <m/>
    <m/>
    <m/>
    <m/>
    <m/>
    <m/>
    <m/>
    <m/>
    <m/>
    <m/>
    <m/>
    <m/>
    <m/>
    <n v="0"/>
    <n v="0"/>
    <n v="0"/>
    <x v="0"/>
  </r>
  <r>
    <x v="0"/>
    <s v="SOA"/>
    <x v="5"/>
    <s v="08"/>
    <x v="7"/>
    <m/>
    <m/>
    <m/>
    <n v="285"/>
    <m/>
    <m/>
    <m/>
    <n v="53"/>
    <n v="180"/>
    <m/>
    <m/>
    <m/>
    <n v="18"/>
    <m/>
    <n v="3759"/>
    <m/>
    <m/>
    <n v="155"/>
    <n v="235"/>
    <m/>
    <m/>
    <n v="2978.86"/>
    <n v="8288.7900000000009"/>
    <n v="1909"/>
    <n v="1864"/>
    <n v="5434"/>
    <n v="230.38"/>
    <n v="329.66"/>
    <m/>
    <n v="1678.19"/>
    <n v="187.23"/>
    <n v="3.2"/>
    <n v="300.7"/>
    <n v="241.03"/>
    <m/>
    <m/>
    <n v="2049"/>
    <n v="3689"/>
    <n v="1860"/>
    <m/>
    <n v="2639"/>
    <n v="23698"/>
    <m/>
    <m/>
    <m/>
    <m/>
    <m/>
    <m/>
    <m/>
    <m/>
    <m/>
    <m/>
    <m/>
    <m/>
    <m/>
    <m/>
    <m/>
    <m/>
    <m/>
    <m/>
    <m/>
    <m/>
    <m/>
    <n v="1183.03"/>
    <n v="381.08"/>
    <n v="0"/>
    <x v="0"/>
  </r>
  <r>
    <x v="0"/>
    <s v="EOA"/>
    <x v="0"/>
    <s v="09"/>
    <x v="8"/>
    <m/>
    <m/>
    <m/>
    <m/>
    <m/>
    <m/>
    <m/>
    <m/>
    <m/>
    <m/>
    <m/>
    <m/>
    <m/>
    <m/>
    <m/>
    <m/>
    <m/>
    <m/>
    <m/>
    <n v="150"/>
    <n v="15"/>
    <m/>
    <m/>
    <n v="0"/>
    <m/>
    <m/>
    <m/>
    <m/>
    <m/>
    <m/>
    <m/>
    <m/>
    <m/>
    <m/>
    <m/>
    <m/>
    <m/>
    <m/>
    <m/>
    <m/>
    <m/>
    <m/>
    <m/>
    <m/>
    <m/>
    <m/>
    <m/>
    <m/>
    <m/>
    <m/>
    <m/>
    <m/>
    <m/>
    <m/>
    <m/>
    <m/>
    <m/>
    <m/>
    <m/>
    <m/>
    <m/>
    <m/>
    <m/>
    <n v="0"/>
    <n v="0"/>
    <n v="0"/>
    <x v="0"/>
  </r>
  <r>
    <x v="0"/>
    <s v="SOA"/>
    <x v="6"/>
    <s v="10"/>
    <x v="9"/>
    <n v="9853"/>
    <n v="6909"/>
    <n v="7408"/>
    <n v="0"/>
    <n v="199"/>
    <n v="1120"/>
    <n v="221"/>
    <n v="2849"/>
    <n v="5960"/>
    <n v="10970"/>
    <n v="9745"/>
    <n v="14886"/>
    <n v="27344"/>
    <n v="25850"/>
    <n v="11204"/>
    <n v="35658"/>
    <n v="44871"/>
    <n v="37078"/>
    <n v="22599"/>
    <n v="17518.490000000002"/>
    <n v="34617.51"/>
    <n v="31318.01"/>
    <n v="27816.1"/>
    <n v="19706"/>
    <n v="30823"/>
    <n v="29013"/>
    <n v="13281.38"/>
    <n v="14379.74"/>
    <n v="22530.66"/>
    <n v="27044.14"/>
    <n v="17341.439999999999"/>
    <n v="13944.35"/>
    <n v="6779.08"/>
    <n v="11595.98"/>
    <n v="6272.232"/>
    <n v="11015"/>
    <n v="23784"/>
    <n v="24272"/>
    <n v="23019"/>
    <n v="17008"/>
    <n v="16260"/>
    <n v="37"/>
    <n v="3606"/>
    <n v="9704"/>
    <n v="11645"/>
    <n v="6851"/>
    <n v="1350"/>
    <n v="721"/>
    <n v="6035.99"/>
    <n v="2498"/>
    <n v="10144"/>
    <n v="6999.3700000000008"/>
    <n v="12153"/>
    <n v="7525"/>
    <n v="4713.3600000000006"/>
    <n v="6547.77"/>
    <n v="4888.55"/>
    <n v="6171.21"/>
    <n v="8013.27"/>
    <n v="3393.71"/>
    <n v="6296"/>
    <n v="9222.9600000000009"/>
    <n v="4793"/>
    <n v="3134.48"/>
    <n v="2604.65"/>
    <n v="7732.6799999999994"/>
    <x v="5"/>
  </r>
  <r>
    <x v="0"/>
    <s v="EOA"/>
    <x v="0"/>
    <s v="12"/>
    <x v="10"/>
    <m/>
    <m/>
    <m/>
    <m/>
    <m/>
    <m/>
    <m/>
    <m/>
    <m/>
    <m/>
    <m/>
    <n v="1580"/>
    <n v="455"/>
    <m/>
    <n v="3900"/>
    <m/>
    <n v="258"/>
    <n v="1167"/>
    <m/>
    <m/>
    <m/>
    <n v="42"/>
    <n v="2514.58"/>
    <n v="0"/>
    <m/>
    <m/>
    <m/>
    <m/>
    <n v="771.36"/>
    <m/>
    <m/>
    <m/>
    <m/>
    <m/>
    <m/>
    <m/>
    <m/>
    <m/>
    <m/>
    <m/>
    <m/>
    <m/>
    <m/>
    <m/>
    <m/>
    <m/>
    <m/>
    <m/>
    <m/>
    <m/>
    <m/>
    <m/>
    <m/>
    <m/>
    <m/>
    <m/>
    <m/>
    <m/>
    <m/>
    <m/>
    <m/>
    <m/>
    <m/>
    <n v="0"/>
    <n v="0"/>
    <n v="0"/>
    <x v="0"/>
  </r>
  <r>
    <x v="0"/>
    <s v="EOA"/>
    <x v="0"/>
    <s v="13"/>
    <x v="11"/>
    <m/>
    <m/>
    <m/>
    <m/>
    <m/>
    <m/>
    <m/>
    <m/>
    <m/>
    <m/>
    <m/>
    <m/>
    <m/>
    <m/>
    <m/>
    <m/>
    <m/>
    <m/>
    <n v="341"/>
    <m/>
    <m/>
    <m/>
    <m/>
    <n v="1075"/>
    <m/>
    <m/>
    <m/>
    <m/>
    <m/>
    <m/>
    <m/>
    <m/>
    <m/>
    <m/>
    <m/>
    <m/>
    <m/>
    <m/>
    <m/>
    <m/>
    <m/>
    <m/>
    <m/>
    <m/>
    <m/>
    <m/>
    <m/>
    <n v="3"/>
    <m/>
    <m/>
    <m/>
    <m/>
    <m/>
    <m/>
    <m/>
    <m/>
    <m/>
    <m/>
    <m/>
    <m/>
    <m/>
    <m/>
    <m/>
    <n v="0"/>
    <n v="0"/>
    <n v="0"/>
    <x v="0"/>
  </r>
  <r>
    <x v="0"/>
    <s v="EOA"/>
    <x v="0"/>
    <s v="14"/>
    <x v="12"/>
    <m/>
    <m/>
    <m/>
    <m/>
    <m/>
    <m/>
    <m/>
    <m/>
    <m/>
    <m/>
    <n v="60"/>
    <m/>
    <m/>
    <m/>
    <m/>
    <m/>
    <m/>
    <m/>
    <m/>
    <m/>
    <m/>
    <m/>
    <n v="1747.45"/>
    <n v="2072"/>
    <m/>
    <m/>
    <m/>
    <m/>
    <m/>
    <m/>
    <m/>
    <m/>
    <n v="18"/>
    <m/>
    <n v="129"/>
    <m/>
    <n v="42"/>
    <n v="210"/>
    <m/>
    <m/>
    <m/>
    <n v="7"/>
    <m/>
    <m/>
    <n v="5"/>
    <n v="2"/>
    <m/>
    <m/>
    <m/>
    <m/>
    <m/>
    <m/>
    <m/>
    <m/>
    <m/>
    <m/>
    <m/>
    <m/>
    <m/>
    <m/>
    <m/>
    <m/>
    <m/>
    <n v="0"/>
    <n v="0"/>
    <n v="0"/>
    <x v="0"/>
  </r>
  <r>
    <x v="0"/>
    <s v="SOA"/>
    <x v="6"/>
    <s v="15"/>
    <x v="13"/>
    <m/>
    <m/>
    <m/>
    <m/>
    <m/>
    <m/>
    <m/>
    <m/>
    <m/>
    <m/>
    <m/>
    <m/>
    <m/>
    <m/>
    <n v="26"/>
    <m/>
    <n v="1819"/>
    <n v="415"/>
    <m/>
    <n v="3356.66"/>
    <m/>
    <n v="632.11"/>
    <n v="324.26"/>
    <n v="0"/>
    <n v="1664"/>
    <m/>
    <m/>
    <n v="964.12"/>
    <n v="40.92"/>
    <n v="788.36"/>
    <n v="167.52"/>
    <n v="5.2"/>
    <n v="762.27"/>
    <n v="3.45"/>
    <m/>
    <m/>
    <n v="1698"/>
    <n v="1077"/>
    <n v="3987"/>
    <n v="2331"/>
    <n v="2479"/>
    <n v="1290"/>
    <n v="14"/>
    <m/>
    <m/>
    <n v="1.87"/>
    <m/>
    <m/>
    <m/>
    <m/>
    <m/>
    <m/>
    <n v="8"/>
    <m/>
    <m/>
    <n v="1246.98"/>
    <n v="1396.31"/>
    <m/>
    <m/>
    <m/>
    <m/>
    <m/>
    <m/>
    <n v="77.540000000000006"/>
    <n v="1026.21"/>
    <n v="488.4"/>
    <x v="0"/>
  </r>
  <r>
    <x v="0"/>
    <s v="EOA"/>
    <x v="0"/>
    <s v="16"/>
    <x v="14"/>
    <m/>
    <m/>
    <m/>
    <m/>
    <m/>
    <m/>
    <m/>
    <m/>
    <m/>
    <n v="1094"/>
    <m/>
    <m/>
    <m/>
    <m/>
    <m/>
    <m/>
    <n v="86"/>
    <n v="1845"/>
    <m/>
    <m/>
    <m/>
    <m/>
    <m/>
    <n v="0"/>
    <m/>
    <m/>
    <m/>
    <m/>
    <m/>
    <m/>
    <m/>
    <m/>
    <m/>
    <m/>
    <m/>
    <m/>
    <m/>
    <m/>
    <m/>
    <m/>
    <m/>
    <m/>
    <m/>
    <m/>
    <m/>
    <m/>
    <m/>
    <m/>
    <m/>
    <m/>
    <m/>
    <m/>
    <m/>
    <m/>
    <m/>
    <m/>
    <m/>
    <m/>
    <m/>
    <m/>
    <m/>
    <m/>
    <m/>
    <n v="0"/>
    <n v="0"/>
    <n v="0"/>
    <x v="0"/>
  </r>
  <r>
    <x v="0"/>
    <s v="SOA"/>
    <x v="6"/>
    <s v="17"/>
    <x v="15"/>
    <m/>
    <m/>
    <m/>
    <m/>
    <m/>
    <m/>
    <m/>
    <m/>
    <m/>
    <m/>
    <m/>
    <m/>
    <m/>
    <n v="3"/>
    <n v="1533"/>
    <n v="16"/>
    <n v="889"/>
    <n v="1510"/>
    <n v="45"/>
    <n v="555.32000000000005"/>
    <n v="3957.07"/>
    <n v="4"/>
    <m/>
    <n v="0"/>
    <n v="2394"/>
    <n v="2710"/>
    <n v="1268.74"/>
    <n v="13.39"/>
    <n v="691.58"/>
    <m/>
    <n v="110.91"/>
    <m/>
    <n v="7.8"/>
    <n v="27.7"/>
    <n v="58.93"/>
    <n v="1116"/>
    <n v="2176"/>
    <m/>
    <n v="1438"/>
    <n v="21"/>
    <m/>
    <n v="2507"/>
    <n v="26"/>
    <m/>
    <m/>
    <m/>
    <m/>
    <n v="14"/>
    <n v="42"/>
    <n v="146"/>
    <n v="147"/>
    <n v="34"/>
    <n v="355.1"/>
    <n v="363"/>
    <m/>
    <m/>
    <m/>
    <m/>
    <n v="718.1"/>
    <n v="288.76"/>
    <n v="390"/>
    <n v="488.78"/>
    <m/>
    <n v="0"/>
    <n v="0"/>
    <n v="27.62"/>
    <x v="6"/>
  </r>
  <r>
    <x v="0"/>
    <s v="EOA"/>
    <x v="7"/>
    <s v="18"/>
    <x v="16"/>
    <n v="564"/>
    <n v="187"/>
    <n v="273"/>
    <n v="121"/>
    <m/>
    <m/>
    <m/>
    <m/>
    <n v="15"/>
    <m/>
    <m/>
    <n v="472"/>
    <n v="1651"/>
    <n v="53"/>
    <m/>
    <n v="906"/>
    <n v="805"/>
    <m/>
    <n v="12"/>
    <n v="2557"/>
    <n v="8415"/>
    <n v="1159"/>
    <n v="757.13"/>
    <n v="4477"/>
    <n v="7112"/>
    <n v="9423"/>
    <m/>
    <n v="8028"/>
    <n v="5845.31"/>
    <n v="3207"/>
    <n v="2900"/>
    <n v="4405"/>
    <n v="4916"/>
    <n v="7904"/>
    <n v="9717"/>
    <n v="5813"/>
    <n v="2043"/>
    <n v="9627"/>
    <n v="4167"/>
    <n v="3111"/>
    <n v="6143"/>
    <n v="5357"/>
    <n v="3579"/>
    <n v="1167"/>
    <n v="4897"/>
    <n v="3285"/>
    <n v="5017"/>
    <n v="7988"/>
    <n v="915.95"/>
    <n v="1722"/>
    <n v="1410"/>
    <n v="8206.8799999999992"/>
    <n v="13476.66"/>
    <n v="12674"/>
    <n v="2841.18"/>
    <n v="2181.2199999999998"/>
    <n v="21790.48"/>
    <n v="8220.67"/>
    <n v="8725.24"/>
    <n v="7946.74"/>
    <n v="9330"/>
    <n v="12164.61"/>
    <n v="18292"/>
    <n v="14004.94"/>
    <n v="12646.59"/>
    <n v="8760.4700000000012"/>
    <x v="7"/>
  </r>
  <r>
    <x v="0"/>
    <s v="EOA"/>
    <x v="7"/>
    <s v="19"/>
    <x v="17"/>
    <m/>
    <m/>
    <m/>
    <m/>
    <m/>
    <m/>
    <m/>
    <m/>
    <m/>
    <m/>
    <m/>
    <m/>
    <m/>
    <m/>
    <m/>
    <m/>
    <m/>
    <m/>
    <m/>
    <m/>
    <m/>
    <m/>
    <m/>
    <n v="0"/>
    <m/>
    <m/>
    <m/>
    <m/>
    <m/>
    <m/>
    <m/>
    <m/>
    <m/>
    <m/>
    <m/>
    <m/>
    <m/>
    <m/>
    <m/>
    <m/>
    <m/>
    <m/>
    <m/>
    <m/>
    <m/>
    <m/>
    <m/>
    <m/>
    <m/>
    <m/>
    <m/>
    <m/>
    <m/>
    <m/>
    <m/>
    <m/>
    <m/>
    <m/>
    <m/>
    <m/>
    <m/>
    <m/>
    <m/>
    <n v="0"/>
    <n v="0"/>
    <n v="0"/>
    <x v="0"/>
  </r>
  <r>
    <x v="0"/>
    <s v="WIL"/>
    <x v="8"/>
    <s v="20"/>
    <x v="18"/>
    <n v="11649"/>
    <n v="6591"/>
    <n v="2779"/>
    <n v="2023"/>
    <n v="2937"/>
    <n v="3790"/>
    <n v="2328"/>
    <n v="913"/>
    <n v="3531"/>
    <n v="2012"/>
    <n v="4761"/>
    <n v="4122"/>
    <n v="7629"/>
    <n v="3483"/>
    <n v="5673"/>
    <n v="6490"/>
    <n v="18113"/>
    <n v="1201"/>
    <n v="4521"/>
    <n v="6127.25"/>
    <n v="603.07000000000005"/>
    <n v="5270.08"/>
    <n v="5395.01"/>
    <n v="10771"/>
    <n v="8809"/>
    <n v="3317"/>
    <n v="10956.67"/>
    <n v="13319.43"/>
    <n v="13636.26"/>
    <n v="7463.78"/>
    <n v="1964.66"/>
    <n v="17031.310000000001"/>
    <n v="2901.24"/>
    <n v="7298.5"/>
    <n v="10179.004000000001"/>
    <n v="6550"/>
    <n v="12706"/>
    <n v="6482"/>
    <n v="2234"/>
    <n v="1580"/>
    <n v="3941"/>
    <n v="3667"/>
    <n v="1811"/>
    <n v="4331"/>
    <n v="408"/>
    <n v="408"/>
    <n v="3014"/>
    <n v="836"/>
    <n v="854"/>
    <n v="2162"/>
    <n v="8836"/>
    <n v="7101.26"/>
    <n v="5844.52"/>
    <n v="4805"/>
    <n v="9761.0300000000007"/>
    <n v="3935.32"/>
    <n v="12247.03"/>
    <n v="7415.78"/>
    <n v="4553.82"/>
    <n v="9514.14"/>
    <n v="11124"/>
    <n v="6830.64"/>
    <n v="10591"/>
    <n v="24644.720000000001"/>
    <n v="13740.77"/>
    <n v="10980.710000000001"/>
    <x v="8"/>
  </r>
  <r>
    <x v="0"/>
    <s v="WIL"/>
    <x v="1"/>
    <s v="21"/>
    <x v="19"/>
    <n v="0"/>
    <n v="65"/>
    <n v="518"/>
    <n v="0"/>
    <n v="0"/>
    <n v="337"/>
    <n v="1625"/>
    <n v="2454"/>
    <n v="3877"/>
    <n v="9901"/>
    <n v="6164"/>
    <n v="5677"/>
    <n v="4533"/>
    <n v="5742"/>
    <n v="2526"/>
    <n v="9618"/>
    <n v="4377"/>
    <n v="435"/>
    <n v="108"/>
    <n v="4876.8500000000004"/>
    <n v="9414.6200000000008"/>
    <n v="9406.0400000000009"/>
    <n v="10615.89"/>
    <n v="24612"/>
    <n v="6851"/>
    <n v="16014"/>
    <n v="9072.08"/>
    <n v="11558.67"/>
    <n v="15496.39"/>
    <n v="21819.83"/>
    <n v="17285.599999999999"/>
    <n v="3607.31"/>
    <n v="7728.65"/>
    <n v="1510.39"/>
    <n v="9323.27"/>
    <n v="23869"/>
    <n v="15599"/>
    <n v="18877"/>
    <n v="17016"/>
    <n v="14382"/>
    <n v="28539"/>
    <n v="12836"/>
    <n v="12445"/>
    <n v="22478"/>
    <n v="6011"/>
    <n v="5158"/>
    <n v="8863"/>
    <n v="8764"/>
    <n v="7073.04"/>
    <n v="11644"/>
    <n v="16289"/>
    <n v="7647.5"/>
    <n v="1050.3499999999999"/>
    <n v="9058"/>
    <n v="5658.87"/>
    <n v="4479.42"/>
    <n v="10779.48"/>
    <n v="8065.54"/>
    <n v="2121.1800000000003"/>
    <n v="6225.41"/>
    <n v="6804"/>
    <n v="10142.119999999999"/>
    <n v="2286"/>
    <n v="13603.460000000001"/>
    <n v="5966.19"/>
    <n v="2755.84"/>
    <x v="9"/>
  </r>
  <r>
    <x v="0"/>
    <s v="WIL"/>
    <x v="2"/>
    <s v="22"/>
    <x v="20"/>
    <n v="541"/>
    <n v="3210"/>
    <n v="11345"/>
    <n v="7709"/>
    <n v="3157"/>
    <n v="4116"/>
    <n v="2449"/>
    <n v="736"/>
    <n v="7303"/>
    <n v="1856"/>
    <n v="1318"/>
    <n v="3646"/>
    <n v="1246"/>
    <n v="302"/>
    <n v="517"/>
    <n v="4759"/>
    <n v="3981"/>
    <n v="10959"/>
    <n v="1627"/>
    <n v="3291.75"/>
    <n v="1443.63"/>
    <n v="3252.9"/>
    <n v="1497.39"/>
    <n v="7405"/>
    <n v="8919"/>
    <n v="10669"/>
    <n v="9172.52"/>
    <n v="10387.66"/>
    <n v="11562.62"/>
    <n v="8952.19"/>
    <n v="5908.09"/>
    <n v="9563.75"/>
    <n v="14086.94"/>
    <n v="11588.51"/>
    <n v="7029.01"/>
    <n v="6420"/>
    <n v="2875"/>
    <n v="5283"/>
    <n v="9735"/>
    <n v="6302"/>
    <n v="1540"/>
    <n v="1378"/>
    <n v="3160"/>
    <n v="5939"/>
    <n v="3479"/>
    <n v="1821"/>
    <n v="2364"/>
    <n v="2041"/>
    <n v="4084"/>
    <n v="9497"/>
    <n v="14137"/>
    <n v="15320.55"/>
    <n v="12869.84"/>
    <n v="15992"/>
    <n v="13655.86"/>
    <n v="15135.33"/>
    <n v="23620.57"/>
    <n v="8102.61"/>
    <n v="9113.8799999999992"/>
    <n v="10169.290000000001"/>
    <n v="8032"/>
    <n v="16491.599999999999"/>
    <n v="13305"/>
    <n v="1173.45"/>
    <n v="4164.42"/>
    <n v="20560.330000000002"/>
    <x v="10"/>
  </r>
  <r>
    <x v="0"/>
    <s v="EOA"/>
    <x v="0"/>
    <s v="23"/>
    <x v="21"/>
    <m/>
    <m/>
    <m/>
    <m/>
    <m/>
    <m/>
    <m/>
    <m/>
    <m/>
    <m/>
    <m/>
    <m/>
    <m/>
    <m/>
    <m/>
    <m/>
    <m/>
    <m/>
    <m/>
    <m/>
    <m/>
    <m/>
    <m/>
    <n v="0"/>
    <m/>
    <m/>
    <m/>
    <m/>
    <m/>
    <m/>
    <m/>
    <m/>
    <m/>
    <m/>
    <m/>
    <m/>
    <m/>
    <m/>
    <m/>
    <m/>
    <m/>
    <m/>
    <m/>
    <m/>
    <m/>
    <m/>
    <m/>
    <m/>
    <m/>
    <m/>
    <m/>
    <m/>
    <m/>
    <m/>
    <m/>
    <m/>
    <m/>
    <m/>
    <m/>
    <m/>
    <m/>
    <m/>
    <m/>
    <n v="0"/>
    <n v="0"/>
    <n v="0"/>
    <x v="0"/>
  </r>
  <r>
    <x v="0"/>
    <s v="WIL"/>
    <x v="2"/>
    <s v="24"/>
    <x v="22"/>
    <n v="1321"/>
    <n v="2422"/>
    <n v="9607"/>
    <n v="3730"/>
    <n v="15084"/>
    <n v="23084"/>
    <n v="2548"/>
    <n v="112"/>
    <n v="502"/>
    <n v="2772"/>
    <n v="6727"/>
    <n v="6649"/>
    <n v="2438"/>
    <n v="4660"/>
    <n v="15206"/>
    <n v="5345"/>
    <n v="4396"/>
    <n v="7440"/>
    <n v="898"/>
    <n v="8385.7000000000007"/>
    <n v="4773.7"/>
    <n v="13938.3"/>
    <n v="1136.8499999999999"/>
    <n v="6284"/>
    <n v="1289"/>
    <n v="4983"/>
    <n v="6459.82"/>
    <n v="8917.57"/>
    <n v="9880.15"/>
    <n v="10817.64"/>
    <n v="7719.01"/>
    <n v="2542.86"/>
    <n v="12407.21"/>
    <n v="6023.16"/>
    <n v="10082.18"/>
    <n v="10103"/>
    <n v="9488"/>
    <n v="14322"/>
    <n v="8867"/>
    <n v="1920"/>
    <n v="4948"/>
    <n v="5020"/>
    <n v="1757"/>
    <n v="5034"/>
    <n v="2416"/>
    <n v="1020"/>
    <n v="10055"/>
    <n v="5115"/>
    <n v="2109"/>
    <n v="5603"/>
    <n v="7186"/>
    <n v="3627"/>
    <n v="946"/>
    <n v="1264"/>
    <n v="4720.8"/>
    <n v="5467.19"/>
    <n v="10147.94"/>
    <n v="16162.890000000001"/>
    <n v="13095.949999999999"/>
    <n v="5759.6799999999994"/>
    <n v="6832"/>
    <n v="5583.22"/>
    <n v="12698"/>
    <n v="9118.18"/>
    <n v="1306.3"/>
    <n v="1595.96"/>
    <x v="11"/>
  </r>
  <r>
    <x v="0"/>
    <s v="EOA"/>
    <x v="0"/>
    <s v="25"/>
    <x v="23"/>
    <m/>
    <m/>
    <m/>
    <m/>
    <m/>
    <m/>
    <m/>
    <m/>
    <m/>
    <m/>
    <m/>
    <m/>
    <m/>
    <m/>
    <m/>
    <m/>
    <m/>
    <m/>
    <n v="220"/>
    <m/>
    <m/>
    <m/>
    <m/>
    <n v="0"/>
    <m/>
    <m/>
    <m/>
    <m/>
    <m/>
    <m/>
    <m/>
    <m/>
    <m/>
    <m/>
    <m/>
    <m/>
    <m/>
    <m/>
    <m/>
    <m/>
    <m/>
    <m/>
    <m/>
    <m/>
    <m/>
    <m/>
    <m/>
    <m/>
    <m/>
    <m/>
    <m/>
    <m/>
    <m/>
    <m/>
    <m/>
    <m/>
    <m/>
    <m/>
    <m/>
    <m/>
    <m/>
    <m/>
    <m/>
    <n v="0"/>
    <n v="0"/>
    <n v="0"/>
    <x v="0"/>
  </r>
  <r>
    <x v="0"/>
    <s v="WIL"/>
    <x v="1"/>
    <s v="27"/>
    <x v="24"/>
    <n v="26"/>
    <m/>
    <m/>
    <m/>
    <m/>
    <n v="105"/>
    <n v="4037"/>
    <n v="4063"/>
    <n v="388"/>
    <n v="1884"/>
    <n v="182"/>
    <n v="159"/>
    <n v="2161"/>
    <n v="835"/>
    <n v="3015"/>
    <n v="4969"/>
    <n v="3410"/>
    <n v="4446"/>
    <n v="2807"/>
    <n v="3398.69"/>
    <n v="5071.88"/>
    <n v="949.44"/>
    <n v="8833.17"/>
    <n v="19029"/>
    <n v="9195"/>
    <n v="499"/>
    <n v="5351.44"/>
    <n v="7313.73"/>
    <n v="6038.35"/>
    <n v="6314.87"/>
    <n v="4311.68"/>
    <n v="3115.64"/>
    <n v="3895.44"/>
    <n v="4059.66"/>
    <n v="1653.1510000000001"/>
    <n v="9697"/>
    <n v="9357"/>
    <n v="10869"/>
    <n v="19723"/>
    <n v="3853"/>
    <n v="12081"/>
    <n v="10150"/>
    <n v="2118"/>
    <n v="3578"/>
    <n v="2658"/>
    <n v="2658"/>
    <n v="140"/>
    <n v="1"/>
    <n v="4178"/>
    <n v="833"/>
    <n v="3698"/>
    <n v="2099"/>
    <n v="1628.81"/>
    <n v="1227"/>
    <n v="5042.76"/>
    <n v="1084.6500000000001"/>
    <n v="1181.56"/>
    <n v="2486.31"/>
    <n v="2544.3399999999997"/>
    <n v="1213.8200000000002"/>
    <m/>
    <n v="641.23"/>
    <n v="1544"/>
    <n v="236.68"/>
    <n v="2515.9499999999998"/>
    <n v="1521.8600000000001"/>
    <x v="12"/>
  </r>
  <r>
    <x v="3"/>
    <s v="NWOA"/>
    <x v="9"/>
    <s v="29"/>
    <x v="25"/>
    <n v="630327"/>
    <n v="707702"/>
    <n v="594651"/>
    <n v="543091"/>
    <n v="452075"/>
    <n v="406126"/>
    <n v="370907"/>
    <n v="285616"/>
    <n v="223222"/>
    <n v="74663"/>
    <n v="61791"/>
    <n v="73053"/>
    <n v="55903"/>
    <n v="51474"/>
    <n v="63603"/>
    <n v="61008"/>
    <n v="38594"/>
    <n v="32399"/>
    <n v="33182"/>
    <n v="49745.279999999999"/>
    <n v="43504.87"/>
    <n v="29570.38"/>
    <n v="28260.04"/>
    <n v="36095"/>
    <n v="58362"/>
    <n v="31876"/>
    <n v="34301.01"/>
    <n v="24458.880000000001"/>
    <n v="41156.42"/>
    <n v="14764.11"/>
    <n v="27210.93"/>
    <n v="28904.91"/>
    <n v="37026.68"/>
    <n v="23086.17"/>
    <n v="51593.845999999998"/>
    <n v="26875"/>
    <n v="29741"/>
    <n v="29487"/>
    <n v="20427"/>
    <n v="51991"/>
    <n v="31464"/>
    <n v="19050"/>
    <n v="21454"/>
    <n v="27803"/>
    <n v="18938"/>
    <n v="22744"/>
    <n v="21832"/>
    <n v="18867"/>
    <n v="42066.04"/>
    <n v="36524.94"/>
    <n v="51917"/>
    <n v="69217"/>
    <n v="56053.070000000007"/>
    <n v="67329"/>
    <n v="58782.659999999996"/>
    <n v="70707.820000000007"/>
    <n v="93136.95"/>
    <n v="105518.53"/>
    <n v="85512.463000000003"/>
    <n v="71059.69"/>
    <n v="70271"/>
    <n v="80991.11"/>
    <n v="67899"/>
    <n v="60974.44"/>
    <n v="80652.25"/>
    <n v="78176.290000000008"/>
    <x v="13"/>
  </r>
  <r>
    <x v="0"/>
    <s v="EOA"/>
    <x v="0"/>
    <s v="30"/>
    <x v="26"/>
    <m/>
    <m/>
    <m/>
    <m/>
    <m/>
    <m/>
    <m/>
    <s v=" "/>
    <n v="716"/>
    <n v="1592"/>
    <n v="1875"/>
    <m/>
    <n v="54"/>
    <m/>
    <m/>
    <n v="7"/>
    <m/>
    <m/>
    <m/>
    <m/>
    <m/>
    <m/>
    <m/>
    <n v="0"/>
    <m/>
    <m/>
    <m/>
    <m/>
    <m/>
    <m/>
    <n v="1575"/>
    <n v="23"/>
    <m/>
    <m/>
    <m/>
    <m/>
    <m/>
    <m/>
    <m/>
    <m/>
    <m/>
    <m/>
    <m/>
    <m/>
    <m/>
    <m/>
    <m/>
    <m/>
    <m/>
    <m/>
    <m/>
    <m/>
    <m/>
    <m/>
    <m/>
    <m/>
    <m/>
    <m/>
    <m/>
    <m/>
    <m/>
    <m/>
    <m/>
    <n v="0"/>
    <n v="0"/>
    <n v="0"/>
    <x v="0"/>
  </r>
  <r>
    <x v="0"/>
    <s v="EOA"/>
    <x v="10"/>
    <s v="31"/>
    <x v="27"/>
    <m/>
    <m/>
    <m/>
    <m/>
    <m/>
    <m/>
    <m/>
    <m/>
    <m/>
    <m/>
    <m/>
    <n v="1412"/>
    <m/>
    <m/>
    <n v="25"/>
    <m/>
    <m/>
    <m/>
    <m/>
    <m/>
    <m/>
    <n v="238"/>
    <n v="1111.92"/>
    <n v="250"/>
    <m/>
    <m/>
    <m/>
    <n v="28"/>
    <m/>
    <n v="796"/>
    <m/>
    <m/>
    <m/>
    <n v="75"/>
    <m/>
    <m/>
    <m/>
    <m/>
    <m/>
    <m/>
    <m/>
    <m/>
    <m/>
    <m/>
    <m/>
    <m/>
    <n v="1296"/>
    <m/>
    <m/>
    <m/>
    <m/>
    <m/>
    <m/>
    <m/>
    <m/>
    <m/>
    <m/>
    <m/>
    <m/>
    <m/>
    <m/>
    <m/>
    <m/>
    <n v="0"/>
    <n v="0"/>
    <n v="0"/>
    <x v="0"/>
  </r>
  <r>
    <x v="0"/>
    <s v="EOA"/>
    <x v="10"/>
    <s v="32"/>
    <x v="28"/>
    <m/>
    <m/>
    <m/>
    <m/>
    <m/>
    <m/>
    <m/>
    <m/>
    <m/>
    <m/>
    <m/>
    <m/>
    <m/>
    <m/>
    <m/>
    <m/>
    <m/>
    <m/>
    <m/>
    <m/>
    <m/>
    <m/>
    <m/>
    <n v="4121"/>
    <n v="319"/>
    <m/>
    <m/>
    <m/>
    <m/>
    <m/>
    <m/>
    <m/>
    <m/>
    <m/>
    <m/>
    <m/>
    <m/>
    <m/>
    <m/>
    <m/>
    <m/>
    <m/>
    <m/>
    <m/>
    <m/>
    <m/>
    <m/>
    <m/>
    <m/>
    <m/>
    <m/>
    <m/>
    <m/>
    <m/>
    <m/>
    <m/>
    <m/>
    <m/>
    <m/>
    <m/>
    <m/>
    <m/>
    <n v="308"/>
    <n v="0"/>
    <n v="0"/>
    <n v="0"/>
    <x v="0"/>
  </r>
  <r>
    <x v="0"/>
    <s v="EOA"/>
    <x v="0"/>
    <s v="33"/>
    <x v="29"/>
    <m/>
    <m/>
    <m/>
    <m/>
    <m/>
    <m/>
    <m/>
    <m/>
    <m/>
    <m/>
    <m/>
    <m/>
    <m/>
    <m/>
    <m/>
    <m/>
    <m/>
    <m/>
    <m/>
    <m/>
    <m/>
    <m/>
    <m/>
    <n v="0"/>
    <m/>
    <m/>
    <m/>
    <m/>
    <m/>
    <m/>
    <m/>
    <m/>
    <m/>
    <m/>
    <m/>
    <m/>
    <m/>
    <m/>
    <m/>
    <m/>
    <m/>
    <m/>
    <m/>
    <m/>
    <m/>
    <m/>
    <m/>
    <m/>
    <m/>
    <m/>
    <m/>
    <m/>
    <m/>
    <m/>
    <m/>
    <m/>
    <m/>
    <m/>
    <m/>
    <m/>
    <m/>
    <m/>
    <m/>
    <n v="0"/>
    <n v="0"/>
    <n v="0"/>
    <x v="0"/>
  </r>
  <r>
    <x v="3"/>
    <s v="NWOA"/>
    <x v="4"/>
    <s v="34"/>
    <x v="30"/>
    <n v="110556"/>
    <n v="100268"/>
    <n v="91316"/>
    <n v="50073"/>
    <n v="50091"/>
    <n v="30016"/>
    <n v="51445"/>
    <n v="35000"/>
    <n v="35000"/>
    <n v="632"/>
    <n v="1864"/>
    <n v="728"/>
    <n v="1605"/>
    <n v="2989"/>
    <n v="2142"/>
    <n v="1822"/>
    <n v="2630"/>
    <n v="830"/>
    <n v="171"/>
    <n v="291.77"/>
    <n v="1020.95"/>
    <n v="3013.76"/>
    <n v="407.63"/>
    <n v="1440"/>
    <n v="2052"/>
    <n v="8169"/>
    <n v="1054.48"/>
    <n v="792.41"/>
    <n v="4988.28"/>
    <n v="2065.3000000000002"/>
    <n v="4145.45"/>
    <n v="513.15"/>
    <n v="4148.8500000000004"/>
    <n v="8105.22"/>
    <n v="11062.842000000001"/>
    <n v="22756"/>
    <n v="3359"/>
    <n v="3303"/>
    <n v="4116"/>
    <n v="17"/>
    <n v="61"/>
    <n v="2320"/>
    <n v="1172"/>
    <n v="2963"/>
    <n v="1688"/>
    <n v="1881"/>
    <n v="5159"/>
    <n v="13275"/>
    <n v="14922.83"/>
    <n v="6369.97"/>
    <n v="11200"/>
    <n v="22774"/>
    <n v="21658"/>
    <n v="28468"/>
    <n v="10342.35"/>
    <n v="35082.83"/>
    <n v="11813.57"/>
    <n v="24613.37"/>
    <n v="30364.74"/>
    <n v="26718.25"/>
    <n v="16801"/>
    <n v="43708.31"/>
    <n v="47440"/>
    <n v="31701.06"/>
    <n v="26254.82"/>
    <n v="43717.43"/>
    <x v="14"/>
  </r>
  <r>
    <x v="0"/>
    <s v="EOA"/>
    <x v="0"/>
    <s v="35"/>
    <x v="31"/>
    <m/>
    <m/>
    <m/>
    <m/>
    <m/>
    <m/>
    <m/>
    <m/>
    <m/>
    <m/>
    <m/>
    <m/>
    <m/>
    <m/>
    <m/>
    <n v="1473"/>
    <n v="2016"/>
    <n v="283"/>
    <n v="1522"/>
    <m/>
    <m/>
    <m/>
    <m/>
    <n v="0"/>
    <n v="2180"/>
    <m/>
    <m/>
    <m/>
    <n v="50"/>
    <m/>
    <m/>
    <m/>
    <m/>
    <m/>
    <m/>
    <m/>
    <m/>
    <m/>
    <m/>
    <m/>
    <m/>
    <m/>
    <m/>
    <m/>
    <m/>
    <m/>
    <m/>
    <m/>
    <m/>
    <m/>
    <m/>
    <m/>
    <m/>
    <m/>
    <m/>
    <m/>
    <m/>
    <m/>
    <m/>
    <m/>
    <m/>
    <m/>
    <m/>
    <n v="0"/>
    <n v="0"/>
    <n v="0"/>
    <x v="0"/>
  </r>
  <r>
    <x v="3"/>
    <s v="NWOA"/>
    <x v="4"/>
    <s v="36"/>
    <x v="32"/>
    <m/>
    <m/>
    <m/>
    <m/>
    <m/>
    <m/>
    <m/>
    <m/>
    <m/>
    <m/>
    <m/>
    <m/>
    <m/>
    <m/>
    <m/>
    <n v="468"/>
    <m/>
    <n v="117"/>
    <m/>
    <n v="145.63"/>
    <n v="419.16"/>
    <m/>
    <m/>
    <n v="17"/>
    <m/>
    <m/>
    <m/>
    <m/>
    <m/>
    <m/>
    <m/>
    <m/>
    <n v="4284"/>
    <n v="0"/>
    <m/>
    <m/>
    <m/>
    <m/>
    <m/>
    <m/>
    <m/>
    <m/>
    <m/>
    <m/>
    <m/>
    <m/>
    <m/>
    <m/>
    <m/>
    <m/>
    <m/>
    <m/>
    <m/>
    <m/>
    <m/>
    <m/>
    <m/>
    <m/>
    <m/>
    <m/>
    <m/>
    <m/>
    <m/>
    <n v="0"/>
    <n v="0"/>
    <n v="0"/>
    <x v="0"/>
  </r>
</pivotCacheRecords>
</file>

<file path=xl/pivotCache/pivotCacheRecords3.xml><?xml version="1.0" encoding="utf-8"?>
<pivotCacheRecords xmlns="http://schemas.openxmlformats.org/spreadsheetml/2006/main" xmlns:r="http://schemas.openxmlformats.org/officeDocument/2006/relationships" count="230">
  <r>
    <x v="0"/>
    <x v="0"/>
    <m/>
    <m/>
    <n v="8981.17"/>
    <n v="0.96497116745225997"/>
    <n v="326.02"/>
    <n v="3.5028832547739967E-2"/>
    <n v="9307.19"/>
    <n v="4138844.85"/>
    <n v="0.97041101675703112"/>
    <n v="126198.29"/>
    <n v="2.9588983242969026E-2"/>
    <n v="4265043.1399999997"/>
  </r>
  <r>
    <x v="0"/>
    <x v="1"/>
    <m/>
    <m/>
    <n v="4093.38"/>
    <n v="1"/>
    <n v="0"/>
    <n v="0"/>
    <n v="4093.38"/>
    <n v="2421813.88"/>
    <n v="1"/>
    <n v="0"/>
    <n v="0"/>
    <n v="2421813.88"/>
  </r>
  <r>
    <x v="0"/>
    <x v="2"/>
    <m/>
    <m/>
    <n v="2177.5500000000002"/>
    <n v="1"/>
    <n v="0"/>
    <n v="0"/>
    <n v="2177.5500000000002"/>
    <n v="734013.18"/>
    <n v="1"/>
    <n v="0"/>
    <n v="0"/>
    <n v="734013.18"/>
  </r>
  <r>
    <x v="0"/>
    <x v="3"/>
    <m/>
    <m/>
    <n v="25577.24"/>
    <n v="0.95303930500362366"/>
    <n v="1260.31"/>
    <n v="4.696069499637634E-2"/>
    <n v="26837.550000000003"/>
    <n v="7171875.4299999997"/>
    <n v="0.94370824025083766"/>
    <n v="427799.05"/>
    <n v="5.6291759749162312E-2"/>
    <n v="7599674.4799999995"/>
  </r>
  <r>
    <x v="0"/>
    <x v="4"/>
    <m/>
    <m/>
    <n v="19775.41"/>
    <n v="1"/>
    <n v="0"/>
    <n v="0"/>
    <n v="19775.41"/>
    <n v="7756501.8099999996"/>
    <n v="1"/>
    <n v="0"/>
    <n v="0"/>
    <n v="7756501.8099999996"/>
  </r>
  <r>
    <x v="0"/>
    <x v="5"/>
    <m/>
    <m/>
    <n v="10882.67"/>
    <n v="0.69200271646168143"/>
    <n v="4843.67"/>
    <n v="0.30799728353831851"/>
    <n v="15726.34"/>
    <n v="2820522.18"/>
    <n v="0.57197028576388209"/>
    <n v="2110716.8199999998"/>
    <n v="0.42802971423611791"/>
    <n v="4931239"/>
  </r>
  <r>
    <x v="0"/>
    <x v="6"/>
    <m/>
    <m/>
    <n v="104.57"/>
    <n v="6.5368751773776726E-3"/>
    <n v="15892.37"/>
    <n v="0.99346312482262233"/>
    <n v="15996.94"/>
    <n v="57760.26"/>
    <n v="9.1722525991995967E-3"/>
    <n v="6239521.6100000003"/>
    <n v="0.99082774740080048"/>
    <n v="6297281.8700000001"/>
  </r>
  <r>
    <x v="0"/>
    <x v="7"/>
    <m/>
    <m/>
    <n v="0"/>
    <n v="0"/>
    <n v="0"/>
    <n v="0"/>
    <n v="0"/>
    <n v="0"/>
    <n v="0"/>
    <n v="0"/>
    <n v="0"/>
    <n v="0"/>
  </r>
  <r>
    <x v="0"/>
    <x v="8"/>
    <m/>
    <m/>
    <n v="1612.61"/>
    <n v="0.58020285026570573"/>
    <n v="1166.78"/>
    <n v="0.41979714973429422"/>
    <n v="2779.39"/>
    <n v="436337.97"/>
    <n v="0.53460683823818866"/>
    <n v="379846.82"/>
    <n v="0.46539316176181128"/>
    <n v="816184.79"/>
  </r>
  <r>
    <x v="0"/>
    <x v="9"/>
    <n v="0"/>
    <n v="0"/>
    <n v="73204.600000000006"/>
    <n v="0.75707685346777853"/>
    <n v="23489.15"/>
    <n v="0.24292314653222158"/>
    <n v="96693.75"/>
    <n v="25537669.559999999"/>
    <n v="0.73338266983213829"/>
    <n v="9284082.5899999999"/>
    <n v="0.26661733016786177"/>
    <n v="34821752.149999999"/>
  </r>
  <r>
    <x v="1"/>
    <x v="0"/>
    <m/>
    <m/>
    <n v="10717.44"/>
    <n v="0.72553280503011819"/>
    <n v="4054.38"/>
    <n v="0.27446719496988187"/>
    <n v="14771.82"/>
    <n v="5635288.1900000004"/>
    <n v="0.76434619908378632"/>
    <n v="1737402.61"/>
    <n v="0.23565380091621366"/>
    <n v="7372690.8000000007"/>
  </r>
  <r>
    <x v="1"/>
    <x v="1"/>
    <m/>
    <m/>
    <n v="2840.97"/>
    <n v="0.99996480199361515"/>
    <n v="0.1"/>
    <n v="3.5198006384918362E-5"/>
    <n v="2841.0699999999997"/>
    <n v="1228212.8999999999"/>
    <n v="0.9999215181387946"/>
    <n v="96.4"/>
    <n v="7.8481861205479783E-5"/>
    <n v="1228309.2999999998"/>
  </r>
  <r>
    <x v="1"/>
    <x v="2"/>
    <m/>
    <m/>
    <n v="408.16"/>
    <n v="1"/>
    <n v="0"/>
    <n v="0"/>
    <n v="408.16"/>
    <n v="123207.03999999999"/>
    <n v="1"/>
    <n v="0"/>
    <n v="0"/>
    <n v="123207.03999999999"/>
  </r>
  <r>
    <x v="1"/>
    <x v="3"/>
    <m/>
    <m/>
    <n v="39118.720000000001"/>
    <n v="0.94993725158036657"/>
    <n v="2061.6"/>
    <n v="5.0062748419633457E-2"/>
    <n v="41180.32"/>
    <n v="13865708.9"/>
    <n v="0.90821881113172154"/>
    <n v="1401216.57"/>
    <n v="9.1781188868278407E-2"/>
    <n v="15266925.470000001"/>
  </r>
  <r>
    <x v="1"/>
    <x v="4"/>
    <m/>
    <m/>
    <n v="9227.9699999999993"/>
    <n v="1"/>
    <n v="0"/>
    <n v="0"/>
    <n v="9227.9699999999993"/>
    <n v="3658511.1"/>
    <n v="1"/>
    <n v="0"/>
    <n v="0"/>
    <n v="3658511.1"/>
  </r>
  <r>
    <x v="1"/>
    <x v="5"/>
    <m/>
    <m/>
    <n v="18664.8"/>
    <n v="1"/>
    <n v="0"/>
    <n v="0"/>
    <n v="18664.8"/>
    <n v="5073761.75"/>
    <n v="1"/>
    <n v="0"/>
    <n v="0"/>
    <n v="5073761.75"/>
  </r>
  <r>
    <x v="1"/>
    <x v="6"/>
    <m/>
    <m/>
    <n v="2461.61"/>
    <n v="0.10448304109949533"/>
    <n v="21098.29"/>
    <n v="0.89551695890050464"/>
    <n v="23559.9"/>
    <n v="1023242.22"/>
    <n v="0.1022800037973583"/>
    <n v="8981081.0299999993"/>
    <n v="0.89771999620264165"/>
    <n v="10004323.25"/>
  </r>
  <r>
    <x v="1"/>
    <x v="7"/>
    <m/>
    <m/>
    <n v="209.2"/>
    <n v="0.99114037996873072"/>
    <n v="1.87"/>
    <n v="8.859620031269248E-3"/>
    <n v="211.07"/>
    <n v="9001.8700000000008"/>
    <n v="0.90794814070676144"/>
    <n v="912.65"/>
    <n v="9.20518592932386E-2"/>
    <n v="9914.52"/>
  </r>
  <r>
    <x v="1"/>
    <x v="8"/>
    <m/>
    <m/>
    <n v="3230.56"/>
    <n v="0.98355944175171106"/>
    <n v="54"/>
    <n v="1.6440558248288963E-2"/>
    <n v="3284.56"/>
    <n v="1229605.04"/>
    <n v="0.98396817052066488"/>
    <n v="20034"/>
    <n v="1.6031829479335086E-2"/>
    <n v="1249639.04"/>
  </r>
  <r>
    <x v="1"/>
    <x v="9"/>
    <n v="0"/>
    <n v="0"/>
    <n v="86879.43"/>
    <n v="0.76110101763763294"/>
    <n v="27270.240000000002"/>
    <n v="0.23889898236236687"/>
    <n v="114149.67000000001"/>
    <n v="31846539.010000002"/>
    <n v="0.72399424030158432"/>
    <n v="12140743.26"/>
    <n v="0.27600575969841562"/>
    <n v="43987282.270000003"/>
  </r>
  <r>
    <x v="2"/>
    <x v="0"/>
    <m/>
    <m/>
    <n v="8369.2199999999993"/>
    <n v="0.61299090535549094"/>
    <n v="5283.87"/>
    <n v="0.38700909464450906"/>
    <n v="13653.09"/>
    <n v="5860295.8300000001"/>
    <n v="0.70800476925631783"/>
    <n v="2416902.41"/>
    <n v="0.29199523074368217"/>
    <n v="8277198.2400000002"/>
  </r>
  <r>
    <x v="2"/>
    <x v="1"/>
    <m/>
    <m/>
    <n v="12371.59"/>
    <n v="0.99619289033543301"/>
    <n v="47.28"/>
    <n v="3.8071096645669049E-3"/>
    <n v="12418.87"/>
    <n v="7980241.3399999999"/>
    <n v="0.99446409175091877"/>
    <n v="44423.81"/>
    <n v="5.5359082490812721E-3"/>
    <n v="8024665.1499999994"/>
  </r>
  <r>
    <x v="2"/>
    <x v="2"/>
    <m/>
    <m/>
    <n v="0"/>
    <n v="0"/>
    <n v="3014.4"/>
    <n v="1"/>
    <n v="3014.4"/>
    <n v="0"/>
    <n v="0"/>
    <n v="1629183.51"/>
    <n v="1"/>
    <n v="1629183.51"/>
  </r>
  <r>
    <x v="2"/>
    <x v="3"/>
    <m/>
    <m/>
    <n v="39965.199999999997"/>
    <n v="0.99999824847924212"/>
    <n v="7.0000000000000007E-2"/>
    <n v="1.7515207578980452E-6"/>
    <n v="39965.269999999997"/>
    <n v="18458389.199999999"/>
    <n v="0.99999855025479656"/>
    <n v="26.76"/>
    <n v="1.4497452033798462E-6"/>
    <n v="18458415.960000001"/>
  </r>
  <r>
    <x v="2"/>
    <x v="4"/>
    <m/>
    <m/>
    <n v="16622.88"/>
    <n v="1"/>
    <n v="0"/>
    <n v="0"/>
    <n v="16622.88"/>
    <n v="10488898.35"/>
    <n v="1"/>
    <n v="0"/>
    <n v="0"/>
    <n v="10488898.35"/>
  </r>
  <r>
    <x v="2"/>
    <x v="5"/>
    <m/>
    <m/>
    <n v="12527.53"/>
    <n v="0.97514106526949318"/>
    <n v="319.36"/>
    <n v="2.4858934730506758E-2"/>
    <n v="12846.890000000001"/>
    <n v="3344260.81"/>
    <n v="0.96413680696265602"/>
    <n v="124397.15"/>
    <n v="3.5863193037344046E-2"/>
    <n v="3468657.96"/>
  </r>
  <r>
    <x v="2"/>
    <x v="6"/>
    <m/>
    <m/>
    <n v="17.690000000000001"/>
    <n v="1.538145843006523E-3"/>
    <n v="11483.17"/>
    <n v="0.9984618541569934"/>
    <n v="11500.86"/>
    <n v="9643.7999999999993"/>
    <n v="1.3068984113205062E-3"/>
    <n v="7369506.6500000004"/>
    <n v="0.99869310158867952"/>
    <n v="7379150.4500000002"/>
  </r>
  <r>
    <x v="2"/>
    <x v="7"/>
    <m/>
    <m/>
    <n v="0"/>
    <n v="0"/>
    <n v="0"/>
    <n v="0"/>
    <n v="0"/>
    <n v="0"/>
    <n v="0"/>
    <n v="0"/>
    <n v="0"/>
    <n v="0"/>
  </r>
  <r>
    <x v="2"/>
    <x v="8"/>
    <m/>
    <m/>
    <n v="4215.08"/>
    <n v="0.66757892802954721"/>
    <n v="2098.9"/>
    <n v="0.3324210719704529"/>
    <n v="6313.98"/>
    <n v="1186460.82"/>
    <n v="0.71518087940652775"/>
    <n v="472505.26"/>
    <n v="0.28481912059347231"/>
    <n v="1658966.08"/>
  </r>
  <r>
    <x v="2"/>
    <x v="9"/>
    <n v="0"/>
    <n v="0"/>
    <n v="94089.19"/>
    <n v="0.80876939120604208"/>
    <n v="22247.050000000003"/>
    <n v="0.19123060879395795"/>
    <n v="116336.24"/>
    <n v="47328190.149999999"/>
    <n v="0.79697031238744809"/>
    <n v="12056945.550000001"/>
    <n v="0.20302968761255183"/>
    <n v="59385135.700000003"/>
  </r>
  <r>
    <x v="3"/>
    <x v="0"/>
    <n v="10974"/>
    <n v="19733"/>
    <n v="6050.58"/>
    <n v="0.58243561815523259"/>
    <n v="4337.83"/>
    <n v="0.41756438184476741"/>
    <n v="10388.41"/>
    <n v="3514646.43"/>
    <n v="0.50959126728406434"/>
    <n v="3382344.66"/>
    <n v="0.49040873271593571"/>
    <n v="6896991.0899999999"/>
  </r>
  <r>
    <x v="3"/>
    <x v="1"/>
    <n v="13250"/>
    <n v="6020"/>
    <n v="7144.47"/>
    <n v="0.99834970124142708"/>
    <n v="11.81"/>
    <n v="1.6502987585728897E-3"/>
    <n v="7156.2800000000007"/>
    <n v="4821057.47"/>
    <n v="0.99770398785973669"/>
    <n v="11094.68"/>
    <n v="2.2960121402634233E-3"/>
    <n v="4832152.1499999994"/>
  </r>
  <r>
    <x v="3"/>
    <x v="2"/>
    <n v="3300"/>
    <n v="3170"/>
    <n v="836.01"/>
    <n v="1"/>
    <n v="0"/>
    <n v="0"/>
    <n v="836.01"/>
    <n v="447914.53"/>
    <n v="1"/>
    <n v="0"/>
    <n v="0"/>
    <n v="447914.53"/>
  </r>
  <r>
    <x v="3"/>
    <x v="3"/>
    <n v="24997"/>
    <n v="27790"/>
    <n v="32635.24"/>
    <n v="1"/>
    <n v="0"/>
    <n v="0"/>
    <n v="32635.24"/>
    <n v="15523971.789999999"/>
    <n v="1"/>
    <n v="0"/>
    <n v="0"/>
    <n v="15523971.789999999"/>
  </r>
  <r>
    <x v="3"/>
    <x v="4"/>
    <m/>
    <m/>
    <n v="21560.52"/>
    <n v="1"/>
    <n v="0"/>
    <n v="0"/>
    <n v="21560.52"/>
    <n v="13493618.09"/>
    <n v="1"/>
    <n v="0"/>
    <n v="0"/>
    <n v="13493618.09"/>
  </r>
  <r>
    <x v="3"/>
    <x v="5"/>
    <n v="15700"/>
    <n v="26760"/>
    <n v="14906.26"/>
    <n v="0.99980146513365564"/>
    <n v="2.96"/>
    <n v="1.9853486634444995E-4"/>
    <n v="14909.22"/>
    <n v="5762041.54"/>
    <n v="0.99991760370449978"/>
    <n v="474.81"/>
    <n v="8.2396295500315598E-5"/>
    <n v="5762516.3499999996"/>
  </r>
  <r>
    <x v="3"/>
    <x v="6"/>
    <n v="8756"/>
    <n v="38580"/>
    <n v="0"/>
    <n v="0"/>
    <n v="14337.04"/>
    <n v="1"/>
    <n v="14337.04"/>
    <n v="0"/>
    <n v="0"/>
    <n v="11987317.689999999"/>
    <n v="1"/>
    <n v="11987317.689999999"/>
  </r>
  <r>
    <x v="3"/>
    <x v="7"/>
    <m/>
    <m/>
    <n v="206.53"/>
    <n v="0.91954585930543187"/>
    <n v="18.07"/>
    <n v="8.0454140694568119E-2"/>
    <n v="224.6"/>
    <n v="102689.14"/>
    <n v="0.96704021721248068"/>
    <n v="3499.97"/>
    <n v="3.2959782787519355E-2"/>
    <n v="106189.11"/>
  </r>
  <r>
    <x v="3"/>
    <x v="8"/>
    <n v="5100"/>
    <m/>
    <n v="7474.07"/>
    <n v="0.93529107752682017"/>
    <n v="517.1"/>
    <n v="6.4708922473179775E-2"/>
    <n v="7991.17"/>
    <n v="3194751.67"/>
    <n v="0.95685009516082242"/>
    <n v="144069.82999999999"/>
    <n v="4.3149904839177529E-2"/>
    <n v="3338821.5"/>
  </r>
  <r>
    <x v="3"/>
    <x v="9"/>
    <n v="82077"/>
    <n v="122053"/>
    <n v="90813.68"/>
    <n v="0.8252901325708849"/>
    <n v="19224.809999999998"/>
    <n v="0.17470986742911501"/>
    <n v="110038.49"/>
    <n v="46860690.660000004"/>
    <n v="0.75109908627995059"/>
    <n v="15528801.640000001"/>
    <n v="0.24890091372004966"/>
    <n v="62389492.29999999"/>
  </r>
  <r>
    <x v="4"/>
    <x v="0"/>
    <n v="17000"/>
    <n v="16874"/>
    <n v="15906.27"/>
    <n v="0.95729268790296518"/>
    <n v="709.62"/>
    <n v="4.2707312097034829E-2"/>
    <n v="16615.89"/>
    <n v="9906395.8200000003"/>
    <n v="0.96413062440478015"/>
    <n v="368556.11"/>
    <n v="3.5869375595219938E-2"/>
    <n v="10274951.93"/>
  </r>
  <r>
    <x v="4"/>
    <x v="1"/>
    <n v="21300"/>
    <n v="38030"/>
    <n v="6192.79"/>
    <n v="1"/>
    <n v="0"/>
    <n v="0"/>
    <n v="6192.79"/>
    <n v="2837709.02"/>
    <n v="1"/>
    <n v="0"/>
    <n v="0"/>
    <n v="2837709.02"/>
  </r>
  <r>
    <x v="4"/>
    <x v="2"/>
    <n v="4200"/>
    <n v="5825"/>
    <n v="854"/>
    <n v="1"/>
    <n v="0"/>
    <n v="0"/>
    <n v="854"/>
    <n v="464260.33"/>
    <n v="1"/>
    <n v="0"/>
    <n v="0"/>
    <n v="464260.33"/>
  </r>
  <r>
    <x v="4"/>
    <x v="3"/>
    <n v="47800"/>
    <n v="65152"/>
    <n v="51497.34"/>
    <n v="0.95944219062213254"/>
    <n v="2176.91"/>
    <n v="4.0557809377867411E-2"/>
    <n v="53674.25"/>
    <n v="24134347.300000001"/>
    <n v="0.95995326705767203"/>
    <n v="1006821.68"/>
    <n v="4.0046732942327967E-2"/>
    <n v="25141168.98"/>
  </r>
  <r>
    <x v="4"/>
    <x v="4"/>
    <n v="32800"/>
    <n v="17364"/>
    <n v="39543.19"/>
    <n v="1"/>
    <n v="0"/>
    <n v="0"/>
    <n v="39543.19"/>
    <n v="21221094.609999999"/>
    <n v="1"/>
    <n v="0"/>
    <n v="0"/>
    <n v="21221094.609999999"/>
  </r>
  <r>
    <x v="4"/>
    <x v="5"/>
    <n v="25100"/>
    <n v="38599"/>
    <n v="23470.25"/>
    <n v="0.98240932588267305"/>
    <n v="420.25"/>
    <n v="1.7590674117326972E-2"/>
    <n v="23890.5"/>
    <n v="7411803.3700000001"/>
    <n v="0.99048953410864315"/>
    <n v="71166.53"/>
    <n v="9.5104658913568521E-3"/>
    <n v="7482969.9000000004"/>
  </r>
  <r>
    <x v="4"/>
    <x v="6"/>
    <n v="25800"/>
    <n v="28966"/>
    <n v="18.059999999999999"/>
    <n v="8.6057371581054029E-4"/>
    <n v="20967.939999999999"/>
    <n v="0.99913942628418939"/>
    <n v="20986"/>
    <n v="7853.68"/>
    <n v="5.3918282021647181E-4"/>
    <n v="14558040.68"/>
    <n v="0.99946081717978352"/>
    <n v="14565894.359999999"/>
  </r>
  <r>
    <x v="4"/>
    <x v="7"/>
    <n v="4501"/>
    <n v="1821"/>
    <n v="119.01"/>
    <n v="1"/>
    <n v="0"/>
    <n v="0"/>
    <n v="119.01"/>
    <n v="46584.08"/>
    <n v="1"/>
    <n v="0"/>
    <n v="0"/>
    <n v="46584.08"/>
  </r>
  <r>
    <x v="4"/>
    <x v="8"/>
    <n v="2300"/>
    <n v="5787"/>
    <n v="214.45"/>
    <n v="0.23412850046399911"/>
    <n v="701.5"/>
    <n v="0.76587149953600087"/>
    <n v="915.95"/>
    <n v="91394.4"/>
    <n v="0.33481039924739975"/>
    <n v="181579.2"/>
    <n v="0.66518960075260036"/>
    <n v="272973.59999999998"/>
  </r>
  <r>
    <x v="4"/>
    <x v="9"/>
    <n v="180801"/>
    <n v="218418"/>
    <n v="137815.36000000002"/>
    <n v="0.84657548013232631"/>
    <n v="24976.219999999998"/>
    <n v="0.15342451986767372"/>
    <n v="162791.58000000002"/>
    <n v="66121442.609999992"/>
    <n v="0.8033454643218535"/>
    <n v="16186164.199999999"/>
    <n v="0.19665453567814653"/>
    <n v="82307606.809999987"/>
  </r>
  <r>
    <x v="5"/>
    <x v="0"/>
    <n v="14400"/>
    <n v="8243"/>
    <n v="13598.34"/>
    <n v="0.96561219830698997"/>
    <n v="484.27"/>
    <n v="3.4387801693010027E-2"/>
    <n v="14082.61"/>
    <n v="6523091.25"/>
    <n v="0.95674539482333909"/>
    <n v="294909.95"/>
    <n v="4.3254605176660868E-2"/>
    <n v="6818001.2000000002"/>
  </r>
  <r>
    <x v="5"/>
    <x v="1"/>
    <n v="25150"/>
    <n v="4307"/>
    <n v="15520.96"/>
    <n v="1"/>
    <n v="0"/>
    <n v="0"/>
    <n v="15520.96"/>
    <n v="8724230.1899999995"/>
    <n v="1"/>
    <n v="0"/>
    <n v="0"/>
    <n v="8724230.1899999995"/>
  </r>
  <r>
    <x v="5"/>
    <x v="2"/>
    <m/>
    <m/>
    <n v="2162.12"/>
    <n v="1"/>
    <n v="0"/>
    <n v="0"/>
    <n v="2162.12"/>
    <n v="1121912.77"/>
    <n v="1"/>
    <n v="0"/>
    <n v="0"/>
    <n v="1121912.77"/>
  </r>
  <r>
    <x v="5"/>
    <x v="3"/>
    <n v="49985"/>
    <n v="32420"/>
    <n v="26467.41"/>
    <n v="0.98771080938264078"/>
    <n v="329.31"/>
    <n v="1.228919061735914E-2"/>
    <n v="26796.720000000001"/>
    <n v="11495832.74"/>
    <n v="0.98205439480929746"/>
    <n v="210069.5"/>
    <n v="1.7945605190702499E-2"/>
    <n v="11705902.24"/>
  </r>
  <r>
    <x v="5"/>
    <x v="4"/>
    <n v="31800"/>
    <n v="21612"/>
    <n v="17787.77"/>
    <n v="1"/>
    <n v="0"/>
    <n v="0"/>
    <n v="17787.77"/>
    <n v="8449381.3699999992"/>
    <n v="1"/>
    <n v="0"/>
    <n v="0"/>
    <n v="8449381.3699999992"/>
  </r>
  <r>
    <x v="5"/>
    <x v="5"/>
    <n v="29200"/>
    <n v="30053"/>
    <n v="27023.29"/>
    <n v="0.99845852634083632"/>
    <n v="41.72"/>
    <n v="1.5414736591636211E-3"/>
    <n v="27065.010000000002"/>
    <n v="8028622.71"/>
    <n v="0.99887760271008963"/>
    <n v="9021.43"/>
    <n v="1.1223972899103742E-3"/>
    <n v="8037644.1399999997"/>
  </r>
  <r>
    <x v="5"/>
    <x v="6"/>
    <n v="20000"/>
    <n v="4257"/>
    <n v="3.18"/>
    <n v="1.4997707897472273E-4"/>
    <n v="21200.06"/>
    <n v="0.99985002292102532"/>
    <n v="21203.24"/>
    <n v="1259.57"/>
    <n v="9.5817129775174095E-5"/>
    <n v="13144302.220000001"/>
    <n v="0.99990418287022476"/>
    <n v="13145561.790000001"/>
  </r>
  <r>
    <x v="5"/>
    <x v="7"/>
    <n v="830"/>
    <n v="3244"/>
    <n v="1128.6300000000001"/>
    <n v="1"/>
    <n v="0"/>
    <n v="0"/>
    <n v="1128.6300000000001"/>
    <n v="265126.33"/>
    <n v="1"/>
    <n v="0"/>
    <n v="0"/>
    <n v="265126.33"/>
  </r>
  <r>
    <x v="5"/>
    <x v="8"/>
    <n v="5600"/>
    <n v="1812"/>
    <n v="1721.96"/>
    <n v="1"/>
    <n v="0"/>
    <n v="0"/>
    <n v="1721.96"/>
    <n v="429195.68"/>
    <n v="1"/>
    <n v="0"/>
    <n v="0"/>
    <n v="429195.68"/>
  </r>
  <r>
    <x v="5"/>
    <x v="9"/>
    <n v="176965"/>
    <n v="105948"/>
    <n v="105413.66000000002"/>
    <n v="0.82697474256882186"/>
    <n v="22055.360000000001"/>
    <n v="0.17302525743117816"/>
    <n v="127469.02000000002"/>
    <n v="45038652.609999999"/>
    <n v="0.76730815193413726"/>
    <n v="13658303.100000001"/>
    <n v="0.23269184806586288"/>
    <n v="58696955.709999993"/>
  </r>
  <r>
    <x v="6"/>
    <x v="0"/>
    <n v="11200"/>
    <n v="13391"/>
    <n v="23015.39"/>
    <n v="0.82063705886379978"/>
    <n v="5030.37"/>
    <n v="0.17936294113620027"/>
    <n v="28045.759999999998"/>
    <n v="11353756.33"/>
    <n v="0.85309630529337466"/>
    <n v="1955123.64"/>
    <n v="0.14690369470662526"/>
    <n v="13308879.970000001"/>
  </r>
  <r>
    <x v="6"/>
    <x v="1"/>
    <n v="11700"/>
    <n v="28275"/>
    <n v="29693.78"/>
    <n v="1"/>
    <n v="0"/>
    <n v="0"/>
    <n v="29693.78"/>
    <n v="12030611.66"/>
    <n v="1"/>
    <n v="0"/>
    <n v="0"/>
    <n v="12030611.66"/>
  </r>
  <r>
    <x v="6"/>
    <x v="2"/>
    <n v="13460"/>
    <n v="9245"/>
    <n v="8836.44"/>
    <n v="1"/>
    <n v="0"/>
    <n v="0"/>
    <n v="8836.44"/>
    <n v="3818030.66"/>
    <n v="1"/>
    <n v="0"/>
    <n v="0"/>
    <n v="3818030.66"/>
  </r>
  <r>
    <x v="6"/>
    <x v="3"/>
    <n v="53380"/>
    <n v="76224"/>
    <n v="37705.82"/>
    <n v="0.99704871536749062"/>
    <n v="111.61"/>
    <n v="2.951284632509401E-3"/>
    <n v="37817.43"/>
    <n v="13426715.6"/>
    <n v="0.99464917266100683"/>
    <n v="72230.53"/>
    <n v="5.3508273389931667E-3"/>
    <n v="13498946.129999999"/>
  </r>
  <r>
    <x v="6"/>
    <x v="4"/>
    <n v="24200"/>
    <n v="21823"/>
    <n v="27522.52"/>
    <n v="0.99978131786139035"/>
    <n v="6.02"/>
    <n v="2.1868213860960295E-4"/>
    <n v="27528.54"/>
    <n v="11128558.960000001"/>
    <n v="0.99979680653681746"/>
    <n v="2261.71"/>
    <n v="2.0319346318244114E-4"/>
    <n v="11130820.670000002"/>
  </r>
  <r>
    <x v="6"/>
    <x v="5"/>
    <n v="45355"/>
    <n v="48624"/>
    <n v="38194.019999999997"/>
    <n v="0.9814744671326745"/>
    <n v="720.92"/>
    <n v="1.8525532867325507E-2"/>
    <n v="38914.939999999995"/>
    <n v="9433092.4499999993"/>
    <n v="0.96373046515246041"/>
    <n v="355009.92"/>
    <n v="3.6269534847539607E-2"/>
    <n v="9788102.3699999992"/>
  </r>
  <r>
    <x v="6"/>
    <x v="6"/>
    <n v="34900"/>
    <n v="44558"/>
    <n v="0"/>
    <n v="0"/>
    <n v="32002.69"/>
    <n v="1"/>
    <n v="32002.69"/>
    <n v="0"/>
    <n v="0"/>
    <n v="17659545.359999999"/>
    <n v="1"/>
    <n v="17659545.359999999"/>
  </r>
  <r>
    <x v="6"/>
    <x v="7"/>
    <n v="1630"/>
    <n v="1745"/>
    <n v="3697.94"/>
    <n v="0.96168039341636136"/>
    <n v="147.35"/>
    <n v="3.8319606583638685E-2"/>
    <n v="3845.29"/>
    <n v="1215586.19"/>
    <n v="0.96409159760992658"/>
    <n v="45275.53"/>
    <n v="3.5908402390073355E-2"/>
    <n v="1260861.72"/>
  </r>
  <r>
    <x v="6"/>
    <x v="8"/>
    <n v="3700"/>
    <n v="11248"/>
    <n v="1409.65"/>
    <n v="1"/>
    <n v="0"/>
    <n v="0"/>
    <n v="1409.65"/>
    <n v="352714.5"/>
    <n v="1"/>
    <n v="0"/>
    <n v="0"/>
    <n v="352714.5"/>
  </r>
  <r>
    <x v="6"/>
    <x v="9"/>
    <n v="199525"/>
    <n v="255133"/>
    <n v="170075.56"/>
    <n v="0.81729956175684004"/>
    <n v="38018.959999999999"/>
    <n v="0.18270043824315987"/>
    <n v="208094.52000000002"/>
    <n v="62759066.349999994"/>
    <n v="0.75751590520036693"/>
    <n v="20089446.690000001"/>
    <n v="0.24248409479963315"/>
    <n v="82848513.039999992"/>
  </r>
  <r>
    <x v="7"/>
    <x v="0"/>
    <n v="11600"/>
    <n v="13061"/>
    <n v="12616.03"/>
    <n v="0.79915814944905983"/>
    <n v="3170.62"/>
    <n v="0.20084185055094017"/>
    <n v="15786.650000000001"/>
    <n v="5318262.57"/>
    <n v="0.80750621352793106"/>
    <n v="1267770.43"/>
    <n v="0.192493786472069"/>
    <n v="6586033"/>
  </r>
  <r>
    <x v="7"/>
    <x v="1"/>
    <n v="26066"/>
    <n v="32098"/>
    <n v="26605.64"/>
    <n v="1"/>
    <n v="0"/>
    <n v="0"/>
    <n v="26605.64"/>
    <n v="10009181.75"/>
    <n v="1"/>
    <n v="0"/>
    <n v="0"/>
    <n v="10009181.75"/>
  </r>
  <r>
    <x v="7"/>
    <x v="2"/>
    <n v="4000"/>
    <n v="3702"/>
    <n v="4324.09"/>
    <n v="0.60891869893511852"/>
    <n v="2777.17"/>
    <n v="0.39108130106488143"/>
    <n v="7101.26"/>
    <n v="1373183.81"/>
    <n v="0.51533369430384846"/>
    <n v="1291465.96"/>
    <n v="0.48466630569615154"/>
    <n v="2664649.77"/>
  </r>
  <r>
    <x v="7"/>
    <x v="3"/>
    <n v="78200"/>
    <n v="39366"/>
    <n v="66832.36"/>
    <n v="0.99996513786478247"/>
    <n v="2.33"/>
    <n v="3.4862135217504564E-5"/>
    <n v="66834.69"/>
    <n v="23338361.84"/>
    <n v="0.99997862192140807"/>
    <n v="498.94"/>
    <n v="2.1378078591889179E-5"/>
    <n v="23338860.780000001"/>
  </r>
  <r>
    <x v="7"/>
    <x v="4"/>
    <n v="50145"/>
    <n v="54483"/>
    <n v="51275.82"/>
    <n v="0.99903030827312467"/>
    <n v="49.77"/>
    <n v="9.6969172687542428E-4"/>
    <n v="51325.59"/>
    <n v="20183284.440000001"/>
    <n v="0.99915624788024793"/>
    <n v="17044.07"/>
    <n v="8.4375211975203654E-4"/>
    <n v="20200328.510000002"/>
  </r>
  <r>
    <x v="7"/>
    <x v="5"/>
    <n v="41704"/>
    <n v="51772"/>
    <n v="45427.09"/>
    <n v="0.98579457789100666"/>
    <n v="654.61"/>
    <n v="1.4205422108993376E-2"/>
    <n v="46081.7"/>
    <n v="11930040.720000001"/>
    <n v="0.97267985686222536"/>
    <n v="335084.99"/>
    <n v="2.7320143137774654E-2"/>
    <n v="12265125.710000001"/>
  </r>
  <r>
    <x v="7"/>
    <x v="6"/>
    <n v="28800"/>
    <n v="30908"/>
    <n v="713.81"/>
    <n v="1.7172838906207973E-2"/>
    <n v="40852.410000000003"/>
    <n v="0.98282716109379209"/>
    <n v="41566.22"/>
    <n v="160223.01"/>
    <n v="7.6708104882832109E-3"/>
    <n v="20727140.879999999"/>
    <n v="0.99232918951171667"/>
    <n v="20887363.890000001"/>
  </r>
  <r>
    <x v="7"/>
    <x v="7"/>
    <n v="7349"/>
    <n v="4308"/>
    <n v="1246.44"/>
    <n v="0.97336300808246468"/>
    <n v="34.11"/>
    <n v="2.6636991917535435E-2"/>
    <n v="1280.55"/>
    <n v="395037.79"/>
    <n v="0.98066151679127855"/>
    <n v="7790.08"/>
    <n v="1.9338483208721384E-2"/>
    <n v="402827.87"/>
  </r>
  <r>
    <x v="7"/>
    <x v="8"/>
    <n v="8300"/>
    <n v="9917"/>
    <n v="6033.19"/>
    <n v="0.73513807927007591"/>
    <n v="2173.69"/>
    <n v="0.26486192072992421"/>
    <n v="8206.8799999999992"/>
    <n v="2263738.54"/>
    <n v="0.75061025378487467"/>
    <n v="752125.59"/>
    <n v="0.24938974621512541"/>
    <n v="3015864.13"/>
  </r>
  <r>
    <x v="7"/>
    <x v="9"/>
    <n v="256164"/>
    <n v="239615"/>
    <n v="215074.47"/>
    <n v="0.81224795514680781"/>
    <n v="49714.710000000006"/>
    <n v="0.1877520448531923"/>
    <n v="264789.18"/>
    <n v="74971314.470000014"/>
    <n v="0.75446449493321177"/>
    <n v="24398920.939999998"/>
    <n v="0.24553550506678823"/>
    <n v="99370235.410000011"/>
  </r>
  <r>
    <x v="8"/>
    <x v="0"/>
    <n v="8600"/>
    <n v="9498"/>
    <n v="5282.14"/>
    <n v="0.82510747044562749"/>
    <n v="1119.6199999999999"/>
    <n v="0.17489252955437251"/>
    <n v="6401.76"/>
    <n v="2335597.7799999998"/>
    <n v="0.85802495604473128"/>
    <n v="386464.98"/>
    <n v="0.14197504395526869"/>
    <n v="2722062.76"/>
  </r>
  <r>
    <x v="8"/>
    <x v="1"/>
    <n v="16430"/>
    <n v="16705"/>
    <n v="17059.8"/>
    <n v="0.99698679707515936"/>
    <n v="51.56"/>
    <n v="3.0132029248405739E-3"/>
    <n v="17111.36"/>
    <n v="7030291.0300000003"/>
    <n v="0.99692679619291547"/>
    <n v="21672.12"/>
    <n v="3.0732038070845559E-3"/>
    <n v="7051963.1500000004"/>
  </r>
  <r>
    <x v="8"/>
    <x v="2"/>
    <n v="7184"/>
    <n v="5820"/>
    <n v="3245.5"/>
    <n v="0.55530650934550652"/>
    <n v="2599.02"/>
    <n v="0.44469349065449343"/>
    <n v="5844.52"/>
    <n v="1228740.25"/>
    <n v="0.51122229312845591"/>
    <n v="1174793.92"/>
    <n v="0.48877770687154409"/>
    <n v="2403534.17"/>
  </r>
  <r>
    <x v="8"/>
    <x v="3"/>
    <n v="79100"/>
    <n v="68087"/>
    <n v="60208.43"/>
    <n v="0.99628365420096499"/>
    <n v="224.59"/>
    <n v="3.7163457990350311E-3"/>
    <n v="60433.02"/>
    <n v="19324646.100000001"/>
    <n v="0.99741347909554323"/>
    <n v="50113.22"/>
    <n v="2.5865209044568407E-3"/>
    <n v="19374759.32"/>
  </r>
  <r>
    <x v="8"/>
    <x v="4"/>
    <n v="43400"/>
    <n v="48424"/>
    <n v="55054.55"/>
    <n v="0.99736575896069479"/>
    <n v="145.41"/>
    <n v="2.6342410393051007E-3"/>
    <n v="55199.960000000006"/>
    <n v="21415955.960000001"/>
    <n v="0.9976895199007112"/>
    <n v="49595.73"/>
    <n v="2.310480099288797E-3"/>
    <n v="21465551.690000001"/>
  </r>
  <r>
    <x v="8"/>
    <x v="5"/>
    <n v="37150"/>
    <n v="33521"/>
    <n v="34743.57"/>
    <n v="1"/>
    <n v="0"/>
    <n v="0"/>
    <n v="34743.57"/>
    <n v="8763966.0399999991"/>
    <n v="1"/>
    <n v="0"/>
    <n v="0"/>
    <n v="8763966.0399999991"/>
  </r>
  <r>
    <x v="8"/>
    <x v="6"/>
    <n v="31000"/>
    <n v="23088"/>
    <n v="2596.0700000000002"/>
    <n v="7.6475538945060761E-2"/>
    <n v="31350.34"/>
    <n v="0.92352446105493913"/>
    <n v="33946.410000000003"/>
    <n v="669753.24"/>
    <n v="3.7653478885317511E-2"/>
    <n v="17117533.879999999"/>
    <n v="0.96234652111468255"/>
    <n v="17787287.119999997"/>
  </r>
  <r>
    <x v="8"/>
    <x v="7"/>
    <m/>
    <n v="4191"/>
    <n v="1403.95"/>
    <n v="0.91284135240572173"/>
    <n v="134.05000000000001"/>
    <n v="8.7158647594278285E-2"/>
    <n v="1538"/>
    <n v="513491.39"/>
    <n v="0.93289800149004554"/>
    <n v="36934.69"/>
    <n v="6.7101998509954325E-2"/>
    <n v="550426.08000000007"/>
  </r>
  <r>
    <x v="8"/>
    <x v="8"/>
    <n v="3900"/>
    <n v="0"/>
    <n v="13474.63"/>
    <n v="0.99984936920572298"/>
    <n v="2.0299999999999998"/>
    <n v="1.5063079427692024E-4"/>
    <n v="13476.66"/>
    <n v="4207434.66"/>
    <n v="0.99982019116036724"/>
    <n v="756.67"/>
    <n v="1.79808839632774E-4"/>
    <n v="4208191.33"/>
  </r>
  <r>
    <x v="8"/>
    <x v="9"/>
    <n v="226764"/>
    <n v="209334"/>
    <n v="193068.64"/>
    <n v="0.84421793438132475"/>
    <n v="35626.620000000003"/>
    <n v="0.15578206561867528"/>
    <n v="228695.26"/>
    <n v="65489876.450000003"/>
    <n v="0.77661129256903194"/>
    <n v="18837865.210000001"/>
    <n v="0.22338870743096811"/>
    <n v="84327741.659999996"/>
  </r>
  <r>
    <x v="9"/>
    <x v="0"/>
    <n v="10700"/>
    <n v="8549"/>
    <n v="10957.66"/>
    <n v="0.87237931764732113"/>
    <n v="1603"/>
    <n v="0.12762068235267893"/>
    <n v="12560.66"/>
    <n v="4517225.8099999996"/>
    <n v="0.88193247591654955"/>
    <n v="604737.53"/>
    <n v="0.11806752408345039"/>
    <n v="5121963.34"/>
  </r>
  <r>
    <x v="9"/>
    <x v="1"/>
    <n v="18328"/>
    <n v="23345"/>
    <n v="21663.26"/>
    <n v="0.99546593523644278"/>
    <n v="98.67"/>
    <n v="4.5340647635572773E-3"/>
    <n v="21761.929999999997"/>
    <n v="8986560.4100000001"/>
    <n v="0.99555799113179988"/>
    <n v="40096.49"/>
    <n v="4.442008868200141E-3"/>
    <n v="9026656.9000000004"/>
  </r>
  <r>
    <x v="9"/>
    <x v="2"/>
    <n v="4300"/>
    <n v="10458"/>
    <n v="4331.18"/>
    <n v="0.90129268008456942"/>
    <n v="474.34"/>
    <n v="9.870731991543058E-2"/>
    <n v="4805.5200000000004"/>
    <n v="1966840.17"/>
    <n v="0.90809814750376316"/>
    <n v="199049.25"/>
    <n v="9.1901852496236863E-2"/>
    <n v="2165889.42"/>
  </r>
  <r>
    <x v="9"/>
    <x v="3"/>
    <n v="82900"/>
    <n v="68087"/>
    <n v="61724.89"/>
    <n v="0.99653146695989803"/>
    <n v="214.84"/>
    <n v="3.4685330401020478E-3"/>
    <n v="61939.729999999996"/>
    <n v="20213372.989999998"/>
    <n v="0.99833581138185068"/>
    <n v="33694.94"/>
    <n v="1.6641886181492159E-3"/>
    <n v="20247067.93"/>
  </r>
  <r>
    <x v="9"/>
    <x v="4"/>
    <n v="38000"/>
    <n v="44933"/>
    <n v="64075.09"/>
    <n v="0.99913411097538118"/>
    <n v="55.53"/>
    <n v="8.6588902461881708E-4"/>
    <n v="64130.619999999995"/>
    <n v="25987951.73"/>
    <n v="0.99926938845116231"/>
    <n v="19000.98"/>
    <n v="7.3061154883762611E-4"/>
    <n v="26006952.710000001"/>
  </r>
  <r>
    <x v="9"/>
    <x v="5"/>
    <n v="24000"/>
    <n v="32271"/>
    <n v="49273.41"/>
    <n v="0.9999835613836201"/>
    <n v="0.81"/>
    <n v="1.643861637992443E-5"/>
    <n v="49274.22"/>
    <n v="12903054.85"/>
    <n v="0.99997699667438422"/>
    <n v="296.82"/>
    <n v="2.3003325615785531E-5"/>
    <n v="12903351.67"/>
  </r>
  <r>
    <x v="9"/>
    <x v="6"/>
    <n v="19900"/>
    <n v="20623"/>
    <n v="2249.86"/>
    <n v="8.1524435118273952E-2"/>
    <n v="25347.51"/>
    <n v="0.91847556488172599"/>
    <n v="27597.37"/>
    <n v="1279870.24"/>
    <n v="9.2916620075994133E-2"/>
    <n v="12494524.9"/>
    <n v="0.90708337992400589"/>
    <n v="13774395.140000001"/>
  </r>
  <r>
    <x v="9"/>
    <x v="7"/>
    <m/>
    <m/>
    <n v="2344.5700000000002"/>
    <n v="0.74693049245923782"/>
    <n v="794.37"/>
    <n v="0.25306950754076218"/>
    <n v="3138.94"/>
    <n v="633293.35"/>
    <n v="0.66128698365649596"/>
    <n v="324374.59999999998"/>
    <n v="0.33871301634350404"/>
    <n v="957667.95"/>
  </r>
  <r>
    <x v="9"/>
    <x v="8"/>
    <n v="7500"/>
    <n v="6780"/>
    <n v="11706.71"/>
    <n v="0.92364930596374895"/>
    <n v="967.7"/>
    <n v="7.6350694036250999E-2"/>
    <n v="12674.41"/>
    <n v="3056285.8"/>
    <n v="0.90325717801315764"/>
    <n v="327341.67"/>
    <n v="9.674282198684242E-2"/>
    <n v="3383627.4699999997"/>
  </r>
  <r>
    <x v="9"/>
    <x v="9"/>
    <n v="205628"/>
    <n v="215046"/>
    <n v="228326.62999999998"/>
    <n v="0.88538707803604255"/>
    <n v="29556.769999999997"/>
    <n v="0.11461292196395735"/>
    <n v="257883.4"/>
    <n v="79544455.349999979"/>
    <n v="0.84994677391062334"/>
    <n v="14043117.18"/>
    <n v="0.15005322608937638"/>
    <n v="93587572.530000001"/>
  </r>
  <r>
    <x v="10"/>
    <x v="0"/>
    <n v="8200"/>
    <n v="13019"/>
    <n v="12436.66"/>
    <n v="0.75357164064611282"/>
    <n v="4066.96"/>
    <n v="0.24642835935388724"/>
    <n v="16503.62"/>
    <n v="4276281.99"/>
    <n v="0.73552912759471001"/>
    <n v="1537603.32"/>
    <n v="0.26447087240528999"/>
    <n v="5813885.3100000005"/>
  </r>
  <r>
    <x v="10"/>
    <x v="1"/>
    <n v="19189"/>
    <n v="12070"/>
    <n v="23052.57"/>
    <n v="0.99892448842785087"/>
    <n v="24.82"/>
    <n v="1.0755115721491901E-3"/>
    <n v="23077.39"/>
    <n v="9168320.3499999996"/>
    <n v="0.99882007497978786"/>
    <n v="10830.71"/>
    <n v="1.1799250202120541E-3"/>
    <n v="9179151.0600000005"/>
  </r>
  <r>
    <x v="10"/>
    <x v="2"/>
    <n v="6900"/>
    <n v="5880"/>
    <n v="9312.75"/>
    <n v="0.95407256391474282"/>
    <n v="448.3"/>
    <n v="4.5927436085257227E-2"/>
    <n v="9761.0499999999993"/>
    <n v="3153675.75"/>
    <n v="0.94180153059499405"/>
    <n v="194880.87"/>
    <n v="5.8198469405005906E-2"/>
    <n v="3348556.62"/>
  </r>
  <r>
    <x v="10"/>
    <x v="3"/>
    <n v="61000"/>
    <n v="79503"/>
    <n v="106920.17"/>
    <n v="0.98504742398807776"/>
    <n v="1623"/>
    <n v="1.495257601192226E-2"/>
    <n v="108543.17"/>
    <n v="37120191.57"/>
    <n v="0.98405505020281636"/>
    <n v="601470"/>
    <n v="1.5944949797183604E-2"/>
    <n v="37721661.57"/>
  </r>
  <r>
    <x v="10"/>
    <x v="4"/>
    <n v="46900"/>
    <n v="50985"/>
    <n v="56179.839999999997"/>
    <n v="1"/>
    <n v="0"/>
    <n v="0"/>
    <n v="56179.839999999997"/>
    <n v="20760293.510000002"/>
    <n v="1"/>
    <n v="0"/>
    <n v="0"/>
    <n v="20760293.510000002"/>
  </r>
  <r>
    <x v="10"/>
    <x v="5"/>
    <n v="53396"/>
    <n v="57882"/>
    <n v="40150.339999999997"/>
    <n v="0.99992279615395352"/>
    <n v="3.1"/>
    <n v="7.7203846046565393E-5"/>
    <n v="40153.439999999995"/>
    <n v="11201537.949999999"/>
    <n v="0.9999212634412219"/>
    <n v="882.04"/>
    <n v="7.8736558778135944E-5"/>
    <n v="11202419.989999998"/>
  </r>
  <r>
    <x v="10"/>
    <x v="6"/>
    <n v="28391"/>
    <n v="16577"/>
    <n v="837.88"/>
    <n v="4.4661018033269224E-2"/>
    <n v="17923"/>
    <n v="0.95533898196673073"/>
    <n v="18760.88"/>
    <n v="213518"/>
    <n v="2.4336953872106611E-2"/>
    <n v="8559888.9399999995"/>
    <n v="0.97566304612789334"/>
    <n v="8773406.9399999995"/>
  </r>
  <r>
    <x v="10"/>
    <x v="7"/>
    <n v="320"/>
    <n v="0"/>
    <n v="1800.66"/>
    <n v="0.89959682858470347"/>
    <n v="200.97"/>
    <n v="0.10040317141529653"/>
    <n v="2001.63"/>
    <n v="373955.03"/>
    <n v="0.81764257629664738"/>
    <n v="83402.55"/>
    <n v="0.18235742370335264"/>
    <n v="457357.58"/>
  </r>
  <r>
    <x v="10"/>
    <x v="8"/>
    <n v="7860"/>
    <n v="6420"/>
    <n v="2841.18"/>
    <n v="1"/>
    <n v="0"/>
    <n v="0"/>
    <n v="2841.18"/>
    <n v="607410.54"/>
    <n v="1"/>
    <n v="0"/>
    <n v="0"/>
    <n v="607410.54"/>
  </r>
  <r>
    <x v="10"/>
    <x v="9"/>
    <n v="232156"/>
    <n v="242336"/>
    <n v="253532.05"/>
    <n v="0.91256944189485234"/>
    <n v="24290.15"/>
    <n v="8.743055810514784E-2"/>
    <n v="277822.19999999995"/>
    <n v="86875184.690000013"/>
    <n v="0.88771210701221337"/>
    <n v="10988958.43"/>
    <n v="0.11228789298778667"/>
    <n v="97864143.120000005"/>
  </r>
  <r>
    <x v="11"/>
    <x v="0"/>
    <n v="12500"/>
    <n v="8167"/>
    <n v="15657.25"/>
    <n v="0.88091493964447776"/>
    <n v="2116.6"/>
    <n v="0.1190850603555223"/>
    <n v="17773.849999999999"/>
    <n v="5728931.8600000003"/>
    <n v="0.89341309087534282"/>
    <n v="683479.06"/>
    <n v="0.10658690912465729"/>
    <n v="6412410.9199999999"/>
  </r>
  <r>
    <x v="11"/>
    <x v="1"/>
    <n v="27319"/>
    <n v="20068"/>
    <n v="23489.86"/>
    <n v="1"/>
    <n v="0"/>
    <n v="0"/>
    <n v="23489.86"/>
    <n v="10119081.210000001"/>
    <n v="1"/>
    <n v="0"/>
    <n v="0"/>
    <n v="10119081.210000001"/>
  </r>
  <r>
    <x v="11"/>
    <x v="2"/>
    <n v="5348"/>
    <n v="6844"/>
    <n v="3935"/>
    <n v="1"/>
    <n v="0"/>
    <n v="0"/>
    <n v="3935"/>
    <n v="1487805.81"/>
    <n v="1"/>
    <n v="0"/>
    <n v="0"/>
    <n v="1487805.81"/>
  </r>
  <r>
    <x v="11"/>
    <x v="3"/>
    <n v="69300"/>
    <n v="88366"/>
    <n v="78397.19"/>
    <n v="0.98763347859876494"/>
    <n v="981.64"/>
    <n v="1.2366521401235064E-2"/>
    <n v="79378.83"/>
    <n v="27223059.449999999"/>
    <n v="0.9906861667515573"/>
    <n v="255934.77"/>
    <n v="9.3138332484426715E-3"/>
    <n v="27478994.219999999"/>
  </r>
  <r>
    <x v="11"/>
    <x v="4"/>
    <n v="69500"/>
    <n v="61119"/>
    <n v="60581.24"/>
    <n v="1"/>
    <n v="0"/>
    <n v="0"/>
    <n v="60581.24"/>
    <n v="22157181.18"/>
    <n v="1"/>
    <n v="0"/>
    <n v="0"/>
    <n v="22157181.18"/>
  </r>
  <r>
    <x v="11"/>
    <x v="5"/>
    <n v="68010"/>
    <n v="68806"/>
    <n v="54070.63"/>
    <n v="0.9951835298032552"/>
    <n v="261.69"/>
    <n v="4.8164701967447739E-3"/>
    <n v="54332.32"/>
    <n v="13551539.359999999"/>
    <n v="0.99612603838726133"/>
    <n v="52702.31"/>
    <n v="3.8739616127386831E-3"/>
    <n v="13604241.67"/>
  </r>
  <r>
    <x v="11"/>
    <x v="6"/>
    <n v="28500"/>
    <n v="33324"/>
    <n v="1073.3499999999999"/>
    <n v="3.7153392784761624E-2"/>
    <n v="27816.34"/>
    <n v="0.9628466072152384"/>
    <n v="28889.69"/>
    <n v="451540.64"/>
    <n v="3.3996855278027115E-2"/>
    <n v="12830294.880000001"/>
    <n v="0.9660031447219728"/>
    <n v="13281835.520000001"/>
  </r>
  <r>
    <x v="11"/>
    <x v="7"/>
    <n v="2190"/>
    <n v="960"/>
    <n v="0"/>
    <n v="0"/>
    <n v="1246.98"/>
    <n v="1"/>
    <n v="1246.98"/>
    <n v="0"/>
    <n v="0"/>
    <n v="394007.34"/>
    <n v="1"/>
    <n v="394007.34"/>
  </r>
  <r>
    <x v="11"/>
    <x v="8"/>
    <n v="11900"/>
    <n v="18261"/>
    <n v="2181.2199999999998"/>
    <n v="1"/>
    <n v="0"/>
    <n v="0"/>
    <n v="2181.2199999999998"/>
    <n v="385164.02"/>
    <n v="1"/>
    <n v="0"/>
    <n v="0"/>
    <n v="385164.02"/>
  </r>
  <r>
    <x v="11"/>
    <x v="9"/>
    <n v="294567"/>
    <n v="305915"/>
    <n v="239385.74000000002"/>
    <n v="0.88071310665625913"/>
    <n v="32423.25"/>
    <n v="0.11928689334374117"/>
    <n v="271808.98999999993"/>
    <n v="81104303.530000001"/>
    <n v="0.85085700068023273"/>
    <n v="14216418.360000001"/>
    <n v="0.14914299931976732"/>
    <n v="95320721.890000001"/>
  </r>
  <r>
    <x v="12"/>
    <x v="0"/>
    <n v="9900"/>
    <n v="13134"/>
    <n v="12924.87"/>
    <n v="0.83544507531685819"/>
    <n v="2545.77"/>
    <n v="0.16455492468314173"/>
    <n v="15470.640000000001"/>
    <n v="4479939.2300000004"/>
    <n v="0.84456137551112964"/>
    <n v="824517.45"/>
    <n v="0.15543862448887033"/>
    <n v="5304456.6800000006"/>
  </r>
  <r>
    <x v="12"/>
    <x v="1"/>
    <n v="20120"/>
    <n v="23487"/>
    <n v="35979.17"/>
    <n v="1"/>
    <m/>
    <n v="0"/>
    <n v="35979.17"/>
    <n v="15262547.1"/>
    <n v="1"/>
    <m/>
    <n v="0"/>
    <n v="15262547.1"/>
  </r>
  <r>
    <x v="12"/>
    <x v="2"/>
    <n v="6670"/>
    <n v="7189"/>
    <n v="12247.03"/>
    <n v="1"/>
    <n v="0"/>
    <n v="0"/>
    <n v="12247.03"/>
    <n v="4747610.54"/>
    <n v="1"/>
    <n v="0"/>
    <n v="0"/>
    <n v="4747610.54"/>
  </r>
  <r>
    <x v="12"/>
    <x v="3"/>
    <n v="70912"/>
    <n v="65873"/>
    <n v="84803.87"/>
    <n v="0.99090790013179175"/>
    <n v="778.12"/>
    <n v="9.0920998682082529E-3"/>
    <n v="85581.989999999991"/>
    <n v="23713823.390000001"/>
    <n v="0.99337013575498889"/>
    <n v="158268.73000000001"/>
    <n v="6.6298642450111321E-3"/>
    <n v="23872092.120000001"/>
  </r>
  <r>
    <x v="12"/>
    <x v="4"/>
    <n v="55400"/>
    <n v="48730"/>
    <n v="55798.52"/>
    <n v="1"/>
    <n v="0"/>
    <n v="0"/>
    <n v="55798.52"/>
    <n v="21720742.559999999"/>
    <n v="1"/>
    <n v="0"/>
    <n v="0"/>
    <n v="21720742.559999999"/>
  </r>
  <r>
    <x v="12"/>
    <x v="5"/>
    <n v="67228"/>
    <n v="54796"/>
    <n v="62162.67"/>
    <n v="0.99994675544405476"/>
    <n v="3.31"/>
    <n v="5.3244555945229211E-5"/>
    <n v="62165.979999999996"/>
    <n v="16078156.84"/>
    <n v="0.9999743310498822"/>
    <n v="412.72"/>
    <n v="2.5668950117724279E-5"/>
    <n v="16078569.560000001"/>
  </r>
  <r>
    <x v="12"/>
    <x v="6"/>
    <n v="24402"/>
    <n v="31272"/>
    <n v="338.48"/>
    <n v="1.0170294135675233E-2"/>
    <n v="32942.76"/>
    <n v="0.98982970586432473"/>
    <n v="33281.240000000005"/>
    <n v="97257.03"/>
    <n v="5.3319290104130298E-3"/>
    <n v="18143239.010000002"/>
    <n v="0.99466807098958687"/>
    <n v="18240496.040000003"/>
  </r>
  <r>
    <x v="12"/>
    <x v="7"/>
    <n v="500"/>
    <n v="1039"/>
    <n v="0"/>
    <n v="0"/>
    <n v="1396.31"/>
    <n v="1"/>
    <n v="1396.31"/>
    <n v="0"/>
    <n v="0"/>
    <n v="200123.2"/>
    <n v="1"/>
    <n v="200123.2"/>
  </r>
  <r>
    <x v="12"/>
    <x v="8"/>
    <n v="7388"/>
    <n v="1162"/>
    <n v="17350.37"/>
    <n v="0.79623624628736955"/>
    <n v="4440.1099999999997"/>
    <n v="0.20376375371263045"/>
    <n v="21790.48"/>
    <n v="3442189.34"/>
    <n v="0.8203891604849165"/>
    <n v="753611.27"/>
    <n v="0.17961083951508366"/>
    <n v="4195800.6099999994"/>
  </r>
  <r>
    <x v="12"/>
    <x v="9"/>
    <n v="262520"/>
    <n v="246682"/>
    <n v="281604.98"/>
    <n v="0.86992615890897385"/>
    <n v="42106.38"/>
    <n v="0.13007384109102629"/>
    <n v="323711.35999999993"/>
    <n v="89542266.030000001"/>
    <n v="0.81682424993231817"/>
    <n v="20080172.379999999"/>
    <n v="0.18317575006768175"/>
    <n v="109622438.41000001"/>
  </r>
  <r>
    <x v="13"/>
    <x v="0"/>
    <n v="9800"/>
    <n v="16103"/>
    <n v="12036.19"/>
    <n v="0.8729803219880079"/>
    <n v="1751.28"/>
    <n v="0.12701967801199204"/>
    <n v="13787.470000000001"/>
    <n v="4995148.1399999997"/>
    <n v="0.92075866826411257"/>
    <n v="429887.01"/>
    <n v="7.9241331735887474E-2"/>
    <n v="5425035.1499999994"/>
  </r>
  <r>
    <x v="13"/>
    <x v="1"/>
    <n v="23250"/>
    <n v="23565"/>
    <n v="25833.06"/>
    <n v="0.98172900648480044"/>
    <n v="480.78"/>
    <n v="1.8270993515199604E-2"/>
    <n v="26313.84"/>
    <n v="12338097"/>
    <n v="0.98620900896205799"/>
    <n v="172534"/>
    <n v="1.3790991037942051E-2"/>
    <n v="12510631"/>
  </r>
  <r>
    <x v="13"/>
    <x v="2"/>
    <n v="10630"/>
    <n v="7036"/>
    <n v="7415.76"/>
    <n v="1"/>
    <n v="0"/>
    <n v="0"/>
    <n v="7415.76"/>
    <n v="3479016.11"/>
    <n v="1"/>
    <n v="0"/>
    <n v="0"/>
    <n v="3479016.11"/>
  </r>
  <r>
    <x v="13"/>
    <x v="3"/>
    <n v="75902"/>
    <n v="79583"/>
    <n v="82894.179999999993"/>
    <n v="0.99926659049687416"/>
    <n v="60.84"/>
    <n v="7.3340950312591102E-4"/>
    <n v="82955.01999999999"/>
    <n v="30156679.670000002"/>
    <n v="0.9991340672111364"/>
    <n v="26136.29"/>
    <n v="8.65932788863614E-4"/>
    <n v="30182815.960000001"/>
  </r>
  <r>
    <x v="13"/>
    <x v="4"/>
    <n v="76300"/>
    <n v="64722"/>
    <n v="69028.100000000006"/>
    <n v="1"/>
    <n v="0"/>
    <n v="0"/>
    <n v="69028.100000000006"/>
    <n v="29337709.899999999"/>
    <n v="1"/>
    <n v="0"/>
    <n v="0"/>
    <n v="29337709.899999999"/>
  </r>
  <r>
    <x v="13"/>
    <x v="5"/>
    <n v="90430"/>
    <n v="76918"/>
    <n v="72240.95"/>
    <n v="0.98973749969345126"/>
    <n v="749.06"/>
    <n v="1.0262500306548801E-2"/>
    <n v="72990.009999999995"/>
    <n v="20748564.390000001"/>
    <n v="0.98888444572356426"/>
    <n v="233224.21"/>
    <n v="1.1115554276435707E-2"/>
    <n v="20981788.600000001"/>
  </r>
  <r>
    <x v="13"/>
    <x v="6"/>
    <n v="24538"/>
    <n v="31178"/>
    <n v="1707.82"/>
    <n v="0.13355908344412293"/>
    <n v="11079.18"/>
    <n v="0.86644091655587707"/>
    <n v="12787"/>
    <n v="841044.51"/>
    <n v="0.12347854823004258"/>
    <n v="5970215.5999999996"/>
    <n v="0.87652145176995744"/>
    <n v="6811260.1099999994"/>
  </r>
  <r>
    <x v="13"/>
    <x v="7"/>
    <n v="4305"/>
    <n v="1406"/>
    <n v="1243.33"/>
    <n v="1"/>
    <n v="0"/>
    <n v="0"/>
    <n v="1243.33"/>
    <n v="332474.15000000002"/>
    <n v="1"/>
    <n v="0"/>
    <n v="0"/>
    <n v="332474.15000000002"/>
  </r>
  <r>
    <x v="13"/>
    <x v="8"/>
    <n v="7200"/>
    <n v="11275"/>
    <n v="4508.95"/>
    <n v="0.54848935670693511"/>
    <n v="3711.72"/>
    <n v="0.45151064329306489"/>
    <n v="8220.67"/>
    <n v="922109.4"/>
    <n v="0.54249068353376417"/>
    <n v="777660.62"/>
    <n v="0.45750931646623583"/>
    <n v="1699770.02"/>
  </r>
  <r>
    <x v="13"/>
    <x v="9"/>
    <n v="322355"/>
    <n v="311786"/>
    <n v="276908.34000000003"/>
    <n v="0.93949654815818084"/>
    <n v="17832.86"/>
    <n v="6.0503451841819197E-2"/>
    <n v="294741.2"/>
    <n v="103150843.27000001"/>
    <n v="0.93129628648032203"/>
    <n v="7609657.7299999995"/>
    <n v="6.8703713519677911E-2"/>
    <n v="110760501.00000001"/>
  </r>
  <r>
    <x v="14"/>
    <x v="0"/>
    <n v="10400"/>
    <n v="10037"/>
    <n v="10489.86"/>
    <n v="0.83361094246179956"/>
    <n v="2093.7800000000002"/>
    <n v="0.16638905753820038"/>
    <n v="12583.640000000001"/>
    <n v="4420308.9800000004"/>
    <n v="0.84721555611022781"/>
    <n v="797145.95"/>
    <n v="0.15278444388977211"/>
    <n v="5217454.9300000006"/>
  </r>
  <r>
    <x v="14"/>
    <x v="1"/>
    <n v="13970"/>
    <n v="16772"/>
    <n v="23342.76"/>
    <n v="0.99923375452577101"/>
    <n v="17.899999999999999"/>
    <n v="7.6624547422889588E-4"/>
    <n v="23360.66"/>
    <n v="11077212.52"/>
    <n v="0.99913099639835112"/>
    <n v="9634.51"/>
    <n v="8.6900360164886314E-4"/>
    <n v="11086847.029999999"/>
  </r>
  <r>
    <x v="14"/>
    <x v="2"/>
    <n v="8700"/>
    <n v="11947"/>
    <n v="4553.82"/>
    <n v="1"/>
    <n v="0"/>
    <n v="0"/>
    <n v="4553.82"/>
    <n v="1862481.64"/>
    <n v="1"/>
    <n v="0"/>
    <n v="0"/>
    <n v="1862481.64"/>
  </r>
  <r>
    <x v="14"/>
    <x v="3"/>
    <n v="61400"/>
    <n v="92793"/>
    <n v="68400.47"/>
    <n v="0.99371393090190829"/>
    <n v="432.69"/>
    <n v="6.2860690980916754E-3"/>
    <n v="68833.16"/>
    <n v="28002660.59"/>
    <n v="0.99234753702756029"/>
    <n v="215941.81"/>
    <n v="7.652462972439769E-3"/>
    <n v="28218602.399999999"/>
  </r>
  <r>
    <x v="14"/>
    <x v="4"/>
    <n v="53300"/>
    <n v="64918"/>
    <n v="70988.03"/>
    <n v="1"/>
    <n v="0"/>
    <n v="0"/>
    <n v="70988.03"/>
    <n v="33210866.460000001"/>
    <n v="1"/>
    <n v="0"/>
    <n v="0"/>
    <n v="33210866.460000001"/>
  </r>
  <r>
    <x v="14"/>
    <x v="5"/>
    <n v="58100"/>
    <n v="50820"/>
    <n v="53658.61"/>
    <n v="0.93839699593257497"/>
    <n v="3522.53"/>
    <n v="6.1603004067425034E-2"/>
    <n v="57181.14"/>
    <n v="15807106.01"/>
    <n v="0.9499541060519392"/>
    <n v="832756.81"/>
    <n v="5.0045893948060804E-2"/>
    <n v="16639862.82"/>
  </r>
  <r>
    <x v="14"/>
    <x v="6"/>
    <n v="23314"/>
    <n v="9270"/>
    <n v="3002.72"/>
    <n v="0.12827723795873638"/>
    <n v="20405.330000000002"/>
    <n v="0.87172276204126353"/>
    <n v="23408.050000000003"/>
    <n v="1460024.83"/>
    <n v="0.11984079008106667"/>
    <n v="10723012.59"/>
    <n v="0.88015920991893337"/>
    <n v="12183037.42"/>
  </r>
  <r>
    <x v="14"/>
    <x v="7"/>
    <n v="1071"/>
    <n v="2020"/>
    <n v="1236.32"/>
    <n v="0.66911657258522794"/>
    <n v="611.37"/>
    <n v="0.33088342741477195"/>
    <n v="1847.69"/>
    <n v="363069.33"/>
    <n v="0.66548720738840828"/>
    <n v="182499.88"/>
    <n v="0.33451279261159189"/>
    <n v="545569.21"/>
  </r>
  <r>
    <x v="14"/>
    <x v="8"/>
    <n v="6300"/>
    <n v="7961"/>
    <n v="8725.24"/>
    <n v="1"/>
    <n v="0"/>
    <n v="0"/>
    <n v="8725.24"/>
    <n v="2083563.99"/>
    <n v="1"/>
    <n v="0"/>
    <n v="0"/>
    <n v="2083563.99"/>
  </r>
  <r>
    <x v="14"/>
    <x v="9"/>
    <n v="236555"/>
    <n v="266538"/>
    <n v="244397.83"/>
    <n v="0.90023774370129106"/>
    <n v="27083.600000000002"/>
    <n v="9.9762256298708912E-2"/>
    <n v="271481.43"/>
    <n v="98287294.349999994"/>
    <n v="0.88508610064011806"/>
    <n v="12760991.550000001"/>
    <n v="0.11491389935988199"/>
    <n v="111048285.89999999"/>
  </r>
  <r>
    <x v="15"/>
    <x v="0"/>
    <n v="10700"/>
    <n v="11757"/>
    <n v="7481.15"/>
    <n v="0.84125354497878069"/>
    <n v="1411.71"/>
    <n v="0.15874645502121926"/>
    <n v="8892.86"/>
    <n v="2874370.59"/>
    <n v="0.87410401141334126"/>
    <n v="413991.61"/>
    <n v="0.12589598858665874"/>
    <n v="3288362.1999999997"/>
  </r>
  <r>
    <x v="15"/>
    <x v="1"/>
    <n v="14000"/>
    <n v="14991"/>
    <n v="17830.5"/>
    <n v="0.99179828623396993"/>
    <n v="147.44999999999999"/>
    <n v="8.201713766030053E-3"/>
    <n v="17977.95"/>
    <n v="7028931.8600000003"/>
    <n v="0.98893049218685281"/>
    <n v="78677.740000000005"/>
    <n v="1.1069507813147193E-2"/>
    <n v="7107609.6000000006"/>
  </r>
  <r>
    <x v="15"/>
    <x v="2"/>
    <n v="9300"/>
    <n v="10568"/>
    <n v="6839.13"/>
    <n v="0.71883848671556239"/>
    <n v="2675.01"/>
    <n v="0.28116151328443773"/>
    <n v="9514.14"/>
    <n v="2649455.2999999998"/>
    <n v="0.65109487671325872"/>
    <n v="1419775.46"/>
    <n v="0.34890512328674134"/>
    <n v="4069230.76"/>
  </r>
  <r>
    <x v="15"/>
    <x v="3"/>
    <n v="50000"/>
    <n v="79168"/>
    <n v="80478.8"/>
    <n v="0.97258121198381009"/>
    <n v="2268.84"/>
    <n v="2.7418788016189952E-2"/>
    <n v="82747.64"/>
    <n v="26448656.57"/>
    <n v="0.96283580737259267"/>
    <n v="1020883.27"/>
    <n v="3.7164192627407333E-2"/>
    <n v="27469539.84"/>
  </r>
  <r>
    <x v="15"/>
    <x v="4"/>
    <n v="58000"/>
    <n v="65025"/>
    <n v="59539.37"/>
    <n v="1"/>
    <n v="0"/>
    <n v="0"/>
    <n v="59539.37"/>
    <n v="26331426.09"/>
    <n v="1"/>
    <n v="0"/>
    <n v="0"/>
    <n v="26331426.09"/>
  </r>
  <r>
    <x v="15"/>
    <x v="5"/>
    <n v="59700"/>
    <n v="25189"/>
    <n v="50421.74"/>
    <n v="0.96546910758654081"/>
    <n v="1803.38"/>
    <n v="3.4530892413459274E-2"/>
    <n v="52225.119999999995"/>
    <n v="14309169.810000001"/>
    <n v="0.97373452019680817"/>
    <n v="385975.03"/>
    <n v="2.6265479803191924E-2"/>
    <n v="14695144.84"/>
  </r>
  <r>
    <x v="15"/>
    <x v="6"/>
    <n v="21400"/>
    <n v="27496"/>
    <n v="5300.71"/>
    <n v="0.26585726480551386"/>
    <n v="14637.47"/>
    <n v="0.73414273519448614"/>
    <n v="19938.18"/>
    <n v="2680583.17"/>
    <n v="0.23626798329511939"/>
    <n v="8664937"/>
    <n v="0.76373201670488067"/>
    <n v="11345520.17"/>
  </r>
  <r>
    <x v="15"/>
    <x v="7"/>
    <n v="1800"/>
    <n v="3117"/>
    <n v="740.09"/>
    <n v="0.96083140757666252"/>
    <n v="30.17"/>
    <n v="3.9168592423337575E-2"/>
    <n v="770.26"/>
    <n v="211474.32"/>
    <n v="0.97846092771673276"/>
    <n v="4655.2299999999996"/>
    <n v="2.1539072283267138E-2"/>
    <n v="216129.55000000002"/>
  </r>
  <r>
    <x v="15"/>
    <x v="8"/>
    <n v="6000"/>
    <n v="14683"/>
    <n v="7946.74"/>
    <n v="1"/>
    <n v="0"/>
    <n v="0"/>
    <n v="7946.74"/>
    <n v="2087127.44"/>
    <n v="1"/>
    <n v="0"/>
    <n v="0"/>
    <n v="2087127.44"/>
  </r>
  <r>
    <x v="15"/>
    <x v="9"/>
    <n v="230900"/>
    <n v="251994"/>
    <n v="236578.22999999998"/>
    <n v="0.91148591809603197"/>
    <n v="22974.03"/>
    <n v="8.8514081903968006E-2"/>
    <n v="259552.25999999998"/>
    <n v="84621195.149999991"/>
    <n v="0.87590431517874456"/>
    <n v="11988895.34"/>
    <n v="0.12409568482125537"/>
    <n v="96610090.489999995"/>
  </r>
  <r>
    <x v="16"/>
    <x v="0"/>
    <n v="10800"/>
    <n v="13551"/>
    <n v="10326.57"/>
    <n v="0.81284757233637095"/>
    <n v="2377.62"/>
    <n v="0.18715242766362911"/>
    <n v="12704.189999999999"/>
    <n v="3104048.3"/>
    <n v="0.83336519035197099"/>
    <n v="620667.27"/>
    <n v="0.16663480964802907"/>
    <n v="3724715.57"/>
  </r>
  <r>
    <x v="16"/>
    <x v="1"/>
    <n v="17688"/>
    <n v="16200"/>
    <n v="14666.73"/>
    <n v="0.98673165612101765"/>
    <n v="197.22"/>
    <n v="1.3268343878982371E-2"/>
    <n v="14863.949999999999"/>
    <n v="5928779.5300000003"/>
    <n v="0.98303530026324826"/>
    <n v="102315.72"/>
    <n v="1.6964699736751795E-2"/>
    <n v="6031095.25"/>
  </r>
  <r>
    <x v="16"/>
    <x v="2"/>
    <n v="6900"/>
    <n v="9520"/>
    <n v="7057.08"/>
    <n v="0.63437392129789438"/>
    <n v="4067.4"/>
    <n v="0.36562607870210567"/>
    <n v="11124.48"/>
    <n v="2659369.52"/>
    <n v="0.55188253442613244"/>
    <n v="2159354.31"/>
    <n v="0.4481174655738675"/>
    <n v="4818723.83"/>
  </r>
  <r>
    <x v="16"/>
    <x v="3"/>
    <n v="77557"/>
    <n v="70825"/>
    <n v="96181.46"/>
    <n v="0.98832818368526965"/>
    <n v="1135.8699999999999"/>
    <n v="1.1671816314730375E-2"/>
    <n v="97317.33"/>
    <n v="23314514.289999999"/>
    <n v="0.98455845055201952"/>
    <n v="365658.56"/>
    <n v="1.5441549447980488E-2"/>
    <n v="23680172.849999998"/>
  </r>
  <r>
    <x v="16"/>
    <x v="4"/>
    <n v="62288"/>
    <n v="70674"/>
    <n v="39469.599999999999"/>
    <n v="1"/>
    <n v="0"/>
    <n v="0"/>
    <n v="39469.599999999999"/>
    <n v="15153421.189999999"/>
    <n v="1"/>
    <n v="0"/>
    <n v="0"/>
    <n v="15153421.189999999"/>
  </r>
  <r>
    <x v="16"/>
    <x v="5"/>
    <n v="35300"/>
    <n v="27282"/>
    <n v="57398.29"/>
    <n v="0.99493245351412296"/>
    <n v="292.35000000000002"/>
    <n v="5.0675464858770851E-3"/>
    <n v="57690.64"/>
    <n v="14400426.060000001"/>
    <n v="0.9950886613312836"/>
    <n v="71074.44"/>
    <n v="4.9113386687164888E-3"/>
    <n v="14471500.5"/>
  </r>
  <r>
    <x v="16"/>
    <x v="6"/>
    <n v="30046"/>
    <n v="33901"/>
    <n v="2326.9899999999998"/>
    <n v="0.11044452808373886"/>
    <n v="18742.32"/>
    <n v="0.88955547191626128"/>
    <n v="21069.309999999998"/>
    <n v="628038.43999999994"/>
    <n v="6.7494721037587427E-2"/>
    <n v="8676962.4600000009"/>
    <n v="0.93250527896241264"/>
    <n v="9305000.9000000004"/>
  </r>
  <r>
    <x v="16"/>
    <x v="7"/>
    <n v="1265"/>
    <n v="1663"/>
    <n v="2631.95"/>
    <n v="1"/>
    <n v="0"/>
    <n v="0"/>
    <n v="2631.95"/>
    <n v="673492.42"/>
    <n v="1"/>
    <n v="0"/>
    <n v="0"/>
    <n v="673492.42"/>
  </r>
  <r>
    <x v="16"/>
    <x v="8"/>
    <n v="7196"/>
    <n v="7793"/>
    <n v="6855.07"/>
    <n v="0.73474206583135937"/>
    <n v="2474.83"/>
    <n v="0.26525793416864063"/>
    <n v="9329.9"/>
    <n v="1780109.29"/>
    <n v="0.80772327799920063"/>
    <n v="423751.04"/>
    <n v="0.19227672200079937"/>
    <n v="2203860.33"/>
  </r>
  <r>
    <x v="16"/>
    <x v="9"/>
    <n v="249040"/>
    <n v="251409"/>
    <n v="236913.74000000002"/>
    <n v="0.8899794835751208"/>
    <n v="29287.61"/>
    <n v="0.11002051642487913"/>
    <n v="266201.35000000003"/>
    <n v="67642199.040000007"/>
    <n v="0.84487289273336719"/>
    <n v="12419783.800000001"/>
    <n v="0.15512710726663287"/>
    <n v="80061982.840000004"/>
  </r>
  <r>
    <x v="17"/>
    <x v="0"/>
    <n v="10100"/>
    <n v="9108"/>
    <n v="9706.68"/>
    <n v="0.70833324211609405"/>
    <n v="3996.87"/>
    <n v="0.291666757883906"/>
    <n v="13703.55"/>
    <n v="2082528.59"/>
    <n v="0.63944538023436592"/>
    <n v="1174244.6299999999"/>
    <n v="0.36055461976563413"/>
    <n v="3256773.2199999997"/>
  </r>
  <r>
    <x v="17"/>
    <x v="1"/>
    <n v="14435"/>
    <n v="17556"/>
    <n v="24678.29"/>
    <n v="1"/>
    <n v="0"/>
    <n v="0"/>
    <n v="24678.29"/>
    <n v="7223425.8200000003"/>
    <n v="1"/>
    <n v="0"/>
    <n v="0"/>
    <n v="7223425.8200000003"/>
  </r>
  <r>
    <x v="17"/>
    <x v="2"/>
    <n v="8700"/>
    <n v="8785"/>
    <n v="6617.93"/>
    <n v="0.96885943337666747"/>
    <n v="212.71"/>
    <n v="3.1140566623332512E-2"/>
    <n v="6830.64"/>
    <n v="1996576.71"/>
    <n v="0.9530617211946516"/>
    <n v="98331.38"/>
    <n v="4.6938278805348455E-2"/>
    <n v="2094908.0899999999"/>
  </r>
  <r>
    <x v="17"/>
    <x v="3"/>
    <n v="61000"/>
    <n v="58787"/>
    <n v="81364.600000000006"/>
    <n v="0.98982614545582825"/>
    <n v="836.3"/>
    <n v="1.0173854544171655E-2"/>
    <n v="82200.900000000009"/>
    <n v="18540317.800000001"/>
    <n v="0.99390915516075129"/>
    <n v="113618.23"/>
    <n v="6.0908448392486521E-3"/>
    <n v="18653936.030000001"/>
  </r>
  <r>
    <x v="17"/>
    <x v="4"/>
    <n v="62888"/>
    <n v="67596"/>
    <n v="92709.8"/>
    <n v="0.99965430928385524"/>
    <n v="32.06"/>
    <n v="3.4569071614479159E-4"/>
    <n v="92741.86"/>
    <n v="24051274.77"/>
    <n v="0.99970466216077059"/>
    <n v="7105.35"/>
    <n v="2.9533783922938532E-4"/>
    <n v="24058380.120000001"/>
  </r>
  <r>
    <x v="17"/>
    <x v="5"/>
    <n v="34878"/>
    <n v="38471"/>
    <n v="40895.4"/>
    <n v="0.99344736833155434"/>
    <n v="269.74"/>
    <n v="6.5526316684456805E-3"/>
    <n v="41165.14"/>
    <n v="6565049.5800000001"/>
    <n v="0.99448194990719085"/>
    <n v="36427.279999999999"/>
    <n v="5.5180500928090808E-3"/>
    <n v="6601476.8600000003"/>
  </r>
  <r>
    <x v="17"/>
    <x v="6"/>
    <n v="25120"/>
    <n v="22832"/>
    <n v="1728.99"/>
    <n v="9.7278000641397119E-2"/>
    <n v="16044.71"/>
    <n v="0.90272199935860276"/>
    <n v="17773.7"/>
    <n v="517011.27"/>
    <n v="7.4799137984912598E-2"/>
    <n v="6394983.7599999998"/>
    <n v="0.92520086201508744"/>
    <n v="6911995.0299999993"/>
  </r>
  <r>
    <x v="17"/>
    <x v="7"/>
    <n v="3200"/>
    <n v="2249"/>
    <n v="1695.12"/>
    <n v="1"/>
    <n v="0"/>
    <n v="0"/>
    <n v="1695.12"/>
    <n v="406592.84"/>
    <n v="1"/>
    <n v="0"/>
    <n v="0"/>
    <n v="406592.84"/>
  </r>
  <r>
    <x v="17"/>
    <x v="8"/>
    <n v="6300"/>
    <n v="7866"/>
    <n v="8745.49"/>
    <n v="0.71892892579375745"/>
    <n v="3419.12"/>
    <n v="0.2810710742062425"/>
    <n v="12164.61"/>
    <n v="1438652.13"/>
    <n v="0.78360550682264396"/>
    <n v="397287.15"/>
    <n v="0.2163944931773561"/>
    <n v="1835939.2799999998"/>
  </r>
  <r>
    <x v="17"/>
    <x v="9"/>
    <n v="226621"/>
    <n v="233250"/>
    <n v="268142.3"/>
    <n v="0.91530572686526923"/>
    <n v="24811.51"/>
    <n v="8.4694273134730685E-2"/>
    <n v="292953.81"/>
    <n v="62821429.510000005"/>
    <n v="0.88426800207093448"/>
    <n v="8221997.7800000003"/>
    <n v="0.11573199792906556"/>
    <n v="71043427.290000007"/>
  </r>
  <r>
    <x v="18"/>
    <x v="0"/>
    <n v="10300"/>
    <n v="8902"/>
    <n v="4803"/>
    <n v="0.77193828351012539"/>
    <n v="1419"/>
    <n v="0.22806171648987464"/>
    <n v="6222"/>
    <n v="1165162"/>
    <n v="0.74670342628338227"/>
    <n v="395246"/>
    <n v="0.25329657371661768"/>
    <n v="1560408"/>
  </r>
  <r>
    <x v="18"/>
    <x v="1"/>
    <n v="14200"/>
    <n v="14862"/>
    <n v="28481.56"/>
    <n v="1"/>
    <n v="0"/>
    <n v="0"/>
    <n v="28481.56"/>
    <n v="9310323"/>
    <n v="1"/>
    <n v="0"/>
    <n v="0"/>
    <n v="9310323"/>
  </r>
  <r>
    <x v="18"/>
    <x v="2"/>
    <n v="7000"/>
    <n v="8039"/>
    <n v="10387.75"/>
    <n v="0.98084622212150396"/>
    <n v="202.85"/>
    <n v="1.9153777878496023E-2"/>
    <n v="10590.6"/>
    <n v="2962911.06"/>
    <n v="0.96932610733717617"/>
    <n v="93760"/>
    <n v="3.0673892662823849E-2"/>
    <n v="3056671.06"/>
  </r>
  <r>
    <x v="18"/>
    <x v="3"/>
    <n v="61491"/>
    <n v="59578"/>
    <n v="54652"/>
    <n v="0.99749949807443095"/>
    <n v="137"/>
    <n v="2.5005019255690012E-3"/>
    <n v="54789"/>
    <n v="15488399"/>
    <n v="0.99904375179853322"/>
    <n v="14824.93"/>
    <n v="9.5624820146682872E-4"/>
    <n v="15503223.93"/>
  </r>
  <r>
    <x v="18"/>
    <x v="4"/>
    <n v="58742"/>
    <n v="52691"/>
    <n v="85948"/>
    <n v="0.99890751028567448"/>
    <n v="94"/>
    <n v="1.0924897143255619E-3"/>
    <n v="86042"/>
    <n v="27463572.739999998"/>
    <n v="0.9992402854101109"/>
    <n v="20880.34"/>
    <n v="7.597145898891579E-4"/>
    <n v="27484453.079999998"/>
  </r>
  <r>
    <x v="18"/>
    <x v="5"/>
    <n v="50107"/>
    <n v="47747"/>
    <n v="33442.69"/>
    <n v="0.95127389051388267"/>
    <n v="1713"/>
    <n v="4.8726109486117324E-2"/>
    <n v="35155.69"/>
    <n v="7165526"/>
    <n v="0.95215233237149266"/>
    <n v="360082.83"/>
    <n v="4.784766762850734E-2"/>
    <n v="7525608.8300000001"/>
  </r>
  <r>
    <x v="18"/>
    <x v="6"/>
    <n v="27614"/>
    <n v="22445"/>
    <n v="2671"/>
    <n v="8.7447616553169197E-2"/>
    <n v="27873"/>
    <n v="0.91255238344683076"/>
    <n v="30544"/>
    <n v="839591"/>
    <n v="7.3073959194075055E-2"/>
    <n v="10650015"/>
    <n v="0.92692604080592489"/>
    <n v="11489606"/>
  </r>
  <r>
    <x v="18"/>
    <x v="7"/>
    <n v="1585"/>
    <n v="2326"/>
    <n v="1249.56"/>
    <n v="1"/>
    <n v="0"/>
    <n v="0"/>
    <n v="1249.56"/>
    <n v="129292.13"/>
    <n v="1"/>
    <n v="0"/>
    <n v="0"/>
    <n v="129292.13"/>
  </r>
  <r>
    <x v="18"/>
    <x v="8"/>
    <n v="4930"/>
    <n v="14862"/>
    <n v="17924"/>
    <n v="0.96360410730605883"/>
    <n v="677"/>
    <n v="3.6395892693941188E-2"/>
    <n v="18601"/>
    <n v="3502495"/>
    <n v="0.99007942393142212"/>
    <n v="35094.93"/>
    <n v="9.9205760685778521E-3"/>
    <n v="3537589.93"/>
  </r>
  <r>
    <x v="18"/>
    <x v="9"/>
    <n v="235969"/>
    <n v="231452"/>
    <n v="239559.56"/>
    <n v="0.8817859518459914"/>
    <n v="32115.85"/>
    <n v="0.11821404815400847"/>
    <n v="271675.41000000003"/>
    <n v="68027271.930000007"/>
    <n v="0.85464428994548469"/>
    <n v="11569904.029999999"/>
    <n v="0.14535571005451534"/>
    <n v="79597175.960000008"/>
  </r>
  <r>
    <x v="19"/>
    <x v="0"/>
    <n v="10500"/>
    <n v="10318"/>
    <n v="17321.14"/>
    <n v="0.91193892727871007"/>
    <n v="1672.61"/>
    <n v="8.8061072721289893E-2"/>
    <n v="18993.75"/>
    <n v="4595712.99"/>
    <n v="0.91484538625169853"/>
    <n v="427773.01"/>
    <n v="8.515461374830148E-2"/>
    <n v="5023486"/>
  </r>
  <r>
    <x v="19"/>
    <x v="1"/>
    <n v="11300"/>
    <n v="12946"/>
    <n v="19227.53"/>
    <n v="1"/>
    <n v="0"/>
    <n v="0"/>
    <n v="19227.53"/>
    <n v="6595758.5199999996"/>
    <n v="1"/>
    <n v="0"/>
    <n v="0"/>
    <n v="6595758.5199999996"/>
  </r>
  <r>
    <x v="19"/>
    <x v="2"/>
    <n v="5000"/>
    <n v="5184"/>
    <n v="24644.720000000001"/>
    <n v="1"/>
    <n v="0"/>
    <n v="0"/>
    <n v="24644.720000000001"/>
    <n v="8742109.4900000002"/>
    <n v="1"/>
    <n v="0"/>
    <n v="0"/>
    <n v="8742109.4900000002"/>
  </r>
  <r>
    <x v="19"/>
    <x v="3"/>
    <n v="71824"/>
    <n v="70275"/>
    <n v="47491.59"/>
    <n v="0.99501878718624648"/>
    <n v="237.75"/>
    <n v="4.9812128137535529E-3"/>
    <n v="47729.34"/>
    <n v="15202999.109999999"/>
    <n v="0.99502030823281851"/>
    <n v="76085.13"/>
    <n v="4.9796917671814604E-3"/>
    <n v="15279084.24"/>
  </r>
  <r>
    <x v="19"/>
    <x v="4"/>
    <n v="62190"/>
    <n v="61169"/>
    <n v="62432.04"/>
    <n v="1"/>
    <n v="0"/>
    <n v="0"/>
    <n v="62432.04"/>
    <n v="22765394.449999999"/>
    <n v="1"/>
    <n v="0"/>
    <n v="0"/>
    <n v="22765394.449999999"/>
  </r>
  <r>
    <x v="19"/>
    <x v="5"/>
    <n v="49027"/>
    <n v="50716"/>
    <n v="43288.14"/>
    <n v="1"/>
    <n v="0"/>
    <n v="0"/>
    <n v="43288.14"/>
    <n v="9901084.5600000005"/>
    <n v="1"/>
    <n v="0"/>
    <n v="0"/>
    <n v="9901084.5600000005"/>
  </r>
  <r>
    <x v="19"/>
    <x v="6"/>
    <m/>
    <m/>
    <n v="880.8"/>
    <n v="2.9938074276199128E-2"/>
    <n v="28539.93"/>
    <n v="0.9700619257238009"/>
    <n v="29420.73"/>
    <n v="296468.65000000002"/>
    <n v="2.6385560863930582E-2"/>
    <n v="10939549.85"/>
    <n v="0.97361443913606938"/>
    <n v="11236018.5"/>
  </r>
  <r>
    <x v="19"/>
    <x v="7"/>
    <n v="2000"/>
    <n v="1458"/>
    <n v="1680.51"/>
    <n v="0.52511670926737197"/>
    <n v="1519.75"/>
    <n v="0.47488329073262792"/>
    <n v="3200.26"/>
    <n v="353375.26"/>
    <n v="0.4019295698892138"/>
    <n v="525821.71"/>
    <n v="0.5980704301107862"/>
    <n v="879196.97"/>
  </r>
  <r>
    <x v="19"/>
    <x v="8"/>
    <n v="3600"/>
    <n v="2658"/>
    <n v="13725"/>
    <n v="0.9800120386178296"/>
    <n v="279.93"/>
    <n v="1.9987961382170422E-2"/>
    <n v="14004.93"/>
    <n v="2858409.9"/>
    <n v="0.98781784019243113"/>
    <n v="35251.040000000001"/>
    <n v="1.2182159807568886E-2"/>
    <n v="2893660.94"/>
  </r>
  <r>
    <x v="19"/>
    <x v="9"/>
    <n v="215441"/>
    <n v="214724"/>
    <n v="230691.46999999997"/>
    <n v="0.87734923030770662"/>
    <n v="32249.97"/>
    <n v="0.12265076969229349"/>
    <n v="262941.43999999994"/>
    <n v="71311312.930000022"/>
    <n v="0.85591590488175939"/>
    <n v="12004480.739999998"/>
    <n v="0.14408409511824069"/>
    <n v="83315793.670000017"/>
  </r>
  <r>
    <x v="20"/>
    <x v="0"/>
    <n v="10025"/>
    <n v="8703"/>
    <n v="11231.11"/>
    <n v="0.90101524675189226"/>
    <n v="1233.8399999999999"/>
    <n v="9.8984753248107682E-2"/>
    <n v="12464.95"/>
    <n v="3898131.93"/>
    <n v="0.89409170799751281"/>
    <n v="461747.37"/>
    <n v="0.10590829200248732"/>
    <n v="4359879.3"/>
  </r>
  <r>
    <x v="20"/>
    <x v="1"/>
    <n v="13900"/>
    <n v="19094"/>
    <n v="4432.34"/>
    <n v="0.80641663361436888"/>
    <n v="1064"/>
    <n v="0.19358336638563117"/>
    <n v="5496.34"/>
    <n v="1961035.36"/>
    <n v="0.79163005460501867"/>
    <n v="516176.5"/>
    <n v="0.20836994539498124"/>
    <n v="2477211.8600000003"/>
  </r>
  <r>
    <x v="20"/>
    <x v="2"/>
    <n v="6400"/>
    <n v="7742"/>
    <n v="13740.77"/>
    <n v="1"/>
    <n v="0"/>
    <n v="0"/>
    <n v="13740.77"/>
    <n v="5396401.2999999998"/>
    <n v="1"/>
    <n v="0"/>
    <n v="0"/>
    <n v="5396401.2999999998"/>
  </r>
  <r>
    <x v="20"/>
    <x v="3"/>
    <n v="68500"/>
    <n v="75708"/>
    <n v="76419.740000000005"/>
    <n v="0.99965596648302513"/>
    <n v="26.3"/>
    <n v="3.4403351697484915E-4"/>
    <n v="76446.040000000008"/>
    <n v="27216044.73"/>
    <n v="0.99963675406543728"/>
    <n v="9889.7099999999991"/>
    <n v="3.6324593456267789E-4"/>
    <n v="27225934.440000001"/>
  </r>
  <r>
    <x v="20"/>
    <x v="4"/>
    <n v="61900"/>
    <n v="64494"/>
    <n v="67024.72"/>
    <n v="1"/>
    <n v="0"/>
    <n v="0"/>
    <n v="67024.72"/>
    <n v="27448426.219999999"/>
    <n v="1"/>
    <n v="0"/>
    <n v="0"/>
    <n v="27448426.219999999"/>
  </r>
  <r>
    <x v="20"/>
    <x v="5"/>
    <n v="49000"/>
    <n v="41281"/>
    <n v="44428.3"/>
    <n v="1"/>
    <n v="0"/>
    <n v="0"/>
    <n v="44428.3"/>
    <n v="11053621.6"/>
    <n v="1"/>
    <n v="0"/>
    <n v="0"/>
    <n v="11053621.6"/>
  </r>
  <r>
    <x v="20"/>
    <x v="6"/>
    <n v="13956"/>
    <n v="11458"/>
    <n v="0"/>
    <n v="0"/>
    <n v="4514.2700000000004"/>
    <n v="1"/>
    <n v="4514.2700000000004"/>
    <n v="0"/>
    <n v="0"/>
    <n v="1672545.78"/>
    <n v="1"/>
    <n v="1672545.78"/>
  </r>
  <r>
    <x v="20"/>
    <x v="7"/>
    <n v="2126"/>
    <n v="2149"/>
    <n v="1310.91"/>
    <n v="0.34479212420733141"/>
    <n v="2491.12"/>
    <n v="0.6552078757926687"/>
    <n v="3802.0299999999997"/>
    <n v="216206.77"/>
    <n v="0.23074178332306747"/>
    <n v="720800.68"/>
    <n v="0.7692582166769325"/>
    <n v="937007.45000000007"/>
  </r>
  <r>
    <x v="20"/>
    <x v="8"/>
    <n v="14087"/>
    <n v="11042"/>
    <n v="10899.88"/>
    <n v="0.86188292654383503"/>
    <n v="1746.71"/>
    <n v="0.13811707345616486"/>
    <n v="12646.59"/>
    <n v="2076526.96"/>
    <n v="0.90504268943552779"/>
    <n v="217869.74"/>
    <n v="9.4957310564472125E-2"/>
    <n v="2294396.7000000002"/>
  </r>
  <r>
    <x v="20"/>
    <x v="9"/>
    <n v="239894"/>
    <n v="241671"/>
    <n v="229487.77"/>
    <n v="0.9539572024925923"/>
    <n v="11076.240000000002"/>
    <n v="4.6042797507407709E-2"/>
    <n v="240564.00999999998"/>
    <n v="79266394.86999999"/>
    <n v="0.95656777485662714"/>
    <n v="3599029.7800000003"/>
    <n v="4.3432225143372881E-2"/>
    <n v="82865424.649999991"/>
  </r>
  <r>
    <x v="21"/>
    <x v="0"/>
    <n v="9114"/>
    <n v="6871"/>
    <n v="3536.28"/>
    <n v="0.78404019218106002"/>
    <n v="974.05"/>
    <n v="0.21595980781894006"/>
    <n v="4510.33"/>
    <n v="1237335.56"/>
    <n v="0.79456015302173566"/>
    <n v="319922.95"/>
    <n v="0.2054398469782644"/>
    <n v="1557258.51"/>
  </r>
  <r>
    <x v="21"/>
    <x v="1"/>
    <n v="20600"/>
    <n v="22278"/>
    <n v="22156.29"/>
    <n v="1"/>
    <n v="0"/>
    <n v="0"/>
    <n v="22156.29"/>
    <n v="10263169.5"/>
    <n v="1"/>
    <n v="0"/>
    <n v="0"/>
    <n v="10263169.5"/>
  </r>
  <r>
    <x v="21"/>
    <x v="2"/>
    <n v="7493"/>
    <n v="7423"/>
    <n v="8482.6"/>
    <n v="0.77250013887990843"/>
    <n v="2498.11"/>
    <n v="0.22749986112009149"/>
    <n v="10980.710000000001"/>
    <n v="4219214.87"/>
    <n v="0.80032896037194379"/>
    <n v="1052635.93"/>
    <n v="0.19967103962805624"/>
    <n v="5271850.8"/>
  </r>
  <r>
    <x v="21"/>
    <x v="3"/>
    <n v="64948"/>
    <n v="73096"/>
    <n v="60902.99"/>
    <n v="0.99985109681071371"/>
    <n v="9.07"/>
    <n v="1.4890318928632526E-4"/>
    <n v="60912.06"/>
    <n v="21694907.600000001"/>
    <n v="0.99991861517343816"/>
    <n v="1765.78"/>
    <n v="8.1384826561831192E-5"/>
    <n v="21696673.380000003"/>
  </r>
  <r>
    <x v="21"/>
    <x v="4"/>
    <n v="56100"/>
    <n v="57038"/>
    <n v="66373.16"/>
    <n v="1"/>
    <n v="0"/>
    <n v="0"/>
    <n v="66373.16"/>
    <n v="29019094.149999999"/>
    <n v="1"/>
    <n v="0"/>
    <n v="0"/>
    <n v="29019094.149999999"/>
  </r>
  <r>
    <x v="21"/>
    <x v="5"/>
    <n v="50900"/>
    <n v="33096"/>
    <n v="49880.4"/>
    <n v="1"/>
    <n v="0"/>
    <n v="0"/>
    <n v="49880.4"/>
    <n v="12674732.25"/>
    <n v="1"/>
    <n v="0"/>
    <n v="0"/>
    <n v="12674732.25"/>
  </r>
  <r>
    <x v="21"/>
    <x v="6"/>
    <n v="10300"/>
    <n v="6703"/>
    <n v="0"/>
    <n v="0"/>
    <n v="6956.86"/>
    <n v="1"/>
    <n v="6956.86"/>
    <n v="0"/>
    <n v="0"/>
    <n v="2524725.08"/>
    <n v="1"/>
    <n v="2524725.08"/>
  </r>
  <r>
    <x v="21"/>
    <x v="7"/>
    <n v="1730"/>
    <n v="1936"/>
    <n v="766.71"/>
    <n v="0.59350229130542476"/>
    <n v="525.13"/>
    <n v="0.40649770869457513"/>
    <n v="1291.8400000000001"/>
    <n v="227422.5"/>
    <n v="0.63788409255674416"/>
    <n v="129103.87"/>
    <n v="0.36211590744325589"/>
    <n v="356526.37"/>
  </r>
  <r>
    <x v="21"/>
    <x v="8"/>
    <n v="4322"/>
    <n v="3456"/>
    <n v="8760.4699999999993"/>
    <n v="1"/>
    <n v="0"/>
    <n v="0"/>
    <n v="8760.4699999999993"/>
    <n v="1834287.62"/>
    <n v="1"/>
    <n v="0"/>
    <n v="0"/>
    <n v="1834287.62"/>
  </r>
  <r>
    <x v="21"/>
    <x v="9"/>
    <n v="225507"/>
    <n v="211897"/>
    <n v="220858.9"/>
    <n v="0.95270848183081058"/>
    <n v="10963.22"/>
    <n v="4.7291518169189375E-2"/>
    <n v="231822.12"/>
    <n v="81170164.050000012"/>
    <n v="0.9527202681856336"/>
    <n v="4028153.6100000003"/>
    <n v="4.7279731814366434E-2"/>
    <n v="85198317.660000011"/>
  </r>
  <r>
    <x v="22"/>
    <x v="0"/>
    <n v="13200"/>
    <n v="14424"/>
    <n v="11993"/>
    <n v="0.92431599229287087"/>
    <n v="982"/>
    <n v="7.5684007707129089E-2"/>
    <n v="12975"/>
    <n v="3526025"/>
    <n v="0.94940151240796511"/>
    <n v="187920"/>
    <n v="5.0598487592034884E-2"/>
    <n v="3713945"/>
  </r>
  <r>
    <x v="22"/>
    <x v="1"/>
    <n v="19000"/>
    <n v="18854"/>
    <n v="18354"/>
    <n v="0.9760689215060625"/>
    <n v="450"/>
    <n v="2.3931078493937462E-2"/>
    <n v="18804"/>
    <n v="8852579"/>
    <n v="0.97294185206250294"/>
    <n v="246196"/>
    <n v="2.7058147937497081E-2"/>
    <n v="9098775"/>
  </r>
  <r>
    <x v="22"/>
    <x v="2"/>
    <n v="6500"/>
    <n v="6799"/>
    <n v="4534"/>
    <n v="0.57038621210215124"/>
    <n v="3415"/>
    <n v="0.42961378789784876"/>
    <n v="7949"/>
    <n v="2045850"/>
    <n v="0.58541204182998452"/>
    <n v="1448868"/>
    <n v="0.41458795817001542"/>
    <n v="3494718"/>
  </r>
  <r>
    <x v="22"/>
    <x v="3"/>
    <n v="73030"/>
    <n v="78601"/>
    <n v="79509"/>
    <n v="0.99787896282537214"/>
    <n v="169"/>
    <n v="2.1210371746278774E-3"/>
    <n v="79678"/>
    <n v="33715645"/>
    <n v="0.99774091393982667"/>
    <n v="76339"/>
    <n v="2.2590860601733238E-3"/>
    <n v="33791984"/>
  </r>
  <r>
    <x v="22"/>
    <x v="4"/>
    <n v="56600"/>
    <n v="64910"/>
    <n v="69154.53"/>
    <n v="1"/>
    <n v="0"/>
    <n v="0"/>
    <n v="69154.53"/>
    <n v="32083431"/>
    <n v="1"/>
    <n v="0"/>
    <n v="0"/>
    <n v="32083431"/>
  </r>
  <r>
    <x v="22"/>
    <x v="5"/>
    <n v="47000"/>
    <n v="36088"/>
    <n v="57908"/>
    <n v="0.99429945054945057"/>
    <n v="332"/>
    <n v="5.7005494505494502E-3"/>
    <n v="58240"/>
    <n v="13843052"/>
    <n v="0.99518047759856654"/>
    <n v="67040"/>
    <n v="4.8195224014334339E-3"/>
    <n v="13910092"/>
  </r>
  <r>
    <x v="22"/>
    <x v="6"/>
    <n v="13000"/>
    <n v="1961"/>
    <n v="35"/>
    <n v="4.2224635058511284E-3"/>
    <n v="8254"/>
    <n v="0.99577753649414891"/>
    <n v="8289"/>
    <n v="15832"/>
    <n v="4.3880351209107113E-3"/>
    <n v="3592161"/>
    <n v="0.99561196487908932"/>
    <n v="3607993"/>
  </r>
  <r>
    <x v="22"/>
    <x v="7"/>
    <n v="1662"/>
    <n v="1447"/>
    <n v="1312"/>
    <n v="0.82154038822792741"/>
    <n v="285"/>
    <n v="0.17845961177207265"/>
    <n v="1597"/>
    <n v="290916"/>
    <n v="0.78134333168604031"/>
    <n v="81412"/>
    <n v="0.21865666831395975"/>
    <n v="372328"/>
  </r>
  <r>
    <x v="22"/>
    <x v="8"/>
    <n v="8000"/>
    <n v="5532"/>
    <n v="16102"/>
    <n v="0.92074565416285448"/>
    <n v="1386"/>
    <n v="7.9254345837145468E-2"/>
    <n v="17488"/>
    <n v="3197762"/>
    <n v="0.92463598061647567"/>
    <n v="260639"/>
    <n v="7.5364019383524355E-2"/>
    <n v="3458401"/>
  </r>
  <r>
    <x v="22"/>
    <x v="9"/>
    <n v="237992"/>
    <n v="228616"/>
    <n v="258901.53"/>
    <n v="0.9442946067966268"/>
    <n v="15273"/>
    <n v="5.570539320337304E-2"/>
    <n v="274174.53000000003"/>
    <n v="97571092"/>
    <n v="0.94242751833600824"/>
    <n v="5960575"/>
    <n v="5.7572481663991752E-2"/>
    <n v="103531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8">
  <location ref="A3:D20" firstHeaderRow="0" firstDataRow="1" firstDataCol="1" rowPageCount="1" colPageCount="1"/>
  <pivotFields count="14">
    <pivotField axis="axisRow" showAll="0">
      <items count="24">
        <item h="1" x="0"/>
        <item h="1" x="1"/>
        <item h="1" x="2"/>
        <item h="1" x="3"/>
        <item h="1" x="4"/>
        <item h="1" x="5"/>
        <item h="1" x="6"/>
        <item x="7"/>
        <item x="8"/>
        <item x="9"/>
        <item x="10"/>
        <item x="11"/>
        <item x="12"/>
        <item x="13"/>
        <item x="14"/>
        <item x="15"/>
        <item x="16"/>
        <item x="17"/>
        <item x="18"/>
        <item x="19"/>
        <item x="20"/>
        <item x="21"/>
        <item x="22"/>
        <item t="default"/>
      </items>
    </pivotField>
    <pivotField axis="axisPage" multipleItemSelectionAllowed="1" showAll="0">
      <items count="13">
        <item x="3"/>
        <item h="1" m="1" x="10"/>
        <item x="6"/>
        <item h="1" m="1" x="11"/>
        <item x="4"/>
        <item x="7"/>
        <item x="8"/>
        <item x="1"/>
        <item x="5"/>
        <item h="1" x="9"/>
        <item x="2"/>
        <item x="0"/>
        <item t="default"/>
      </items>
    </pivotField>
    <pivotField dataField="1" showAll="0"/>
    <pivotField dataField="1" showAll="0"/>
    <pivotField numFmtId="3" showAll="0"/>
    <pivotField numFmtId="166" showAll="0"/>
    <pivotField showAll="0"/>
    <pivotField numFmtId="166" showAll="0"/>
    <pivotField dataField="1" numFmtId="3" showAll="0" defaultSubtotal="0"/>
    <pivotField numFmtId="6" showAll="0"/>
    <pivotField numFmtId="166" showAll="0"/>
    <pivotField showAll="0"/>
    <pivotField numFmtId="166" showAll="0"/>
    <pivotField numFmtId="6" showAll="0"/>
  </pivotFields>
  <rowFields count="1">
    <field x="0"/>
  </rowFields>
  <rowItems count="17">
    <i>
      <x v="7"/>
    </i>
    <i>
      <x v="8"/>
    </i>
    <i>
      <x v="9"/>
    </i>
    <i>
      <x v="10"/>
    </i>
    <i>
      <x v="11"/>
    </i>
    <i>
      <x v="12"/>
    </i>
    <i>
      <x v="13"/>
    </i>
    <i>
      <x v="14"/>
    </i>
    <i>
      <x v="15"/>
    </i>
    <i>
      <x v="16"/>
    </i>
    <i>
      <x v="17"/>
    </i>
    <i>
      <x v="18"/>
    </i>
    <i>
      <x v="19"/>
    </i>
    <i>
      <x v="20"/>
    </i>
    <i>
      <x v="21"/>
    </i>
    <i>
      <x v="22"/>
    </i>
    <i t="grand">
      <x/>
    </i>
  </rowItems>
  <colFields count="1">
    <field x="-2"/>
  </colFields>
  <colItems count="3">
    <i>
      <x/>
    </i>
    <i i="1">
      <x v="1"/>
    </i>
    <i i="2">
      <x v="2"/>
    </i>
  </colItems>
  <pageFields count="1">
    <pageField fld="1" hier="-1"/>
  </pageFields>
  <dataFields count="3">
    <dataField name="Total AOP PLANNED Volume" fld="2" baseField="0" baseItem="7" numFmtId="38"/>
    <dataField name="Total SOLD Volume" fld="3" baseField="0" baseItem="7" numFmtId="38"/>
    <dataField name="Sum of Total HARVEST VOL BOTH Funds" fld="8" baseField="0" baseItem="0"/>
  </dataFields>
  <formats count="21">
    <format dxfId="152">
      <pivotArea dataOnly="0" labelOnly="1" outline="0" fieldPosition="0">
        <references count="1">
          <reference field="4294967294" count="2">
            <x v="0"/>
            <x v="1"/>
          </reference>
        </references>
      </pivotArea>
    </format>
    <format dxfId="151">
      <pivotArea dataOnly="0" labelOnly="1" outline="0" fieldPosition="0">
        <references count="1">
          <reference field="4294967294" count="2">
            <x v="0"/>
            <x v="1"/>
          </reference>
        </references>
      </pivotArea>
    </format>
    <format dxfId="150">
      <pivotArea outline="0" fieldPosition="0">
        <references count="1">
          <reference field="4294967294" count="1">
            <x v="1"/>
          </reference>
        </references>
      </pivotArea>
    </format>
    <format dxfId="149">
      <pivotArea outline="0" fieldPosition="0">
        <references count="1">
          <reference field="4294967294" count="1">
            <x v="0"/>
          </reference>
        </references>
      </pivotArea>
    </format>
    <format dxfId="148">
      <pivotArea field="0" type="button" dataOnly="0" labelOnly="1" outline="0" axis="axisRow" fieldPosition="0"/>
    </format>
    <format dxfId="147">
      <pivotArea dataOnly="0" labelOnly="1" outline="0" fieldPosition="0">
        <references count="1">
          <reference field="4294967294" count="2">
            <x v="0"/>
            <x v="1"/>
          </reference>
        </references>
      </pivotArea>
    </format>
    <format dxfId="146">
      <pivotArea field="1" type="button" dataOnly="0" labelOnly="1" outline="0" axis="axisPage" fieldPosition="0"/>
    </format>
    <format dxfId="145">
      <pivotArea field="0" type="button" dataOnly="0" labelOnly="1" outline="0" axis="axisRow" fieldPosition="0"/>
    </format>
    <format dxfId="144">
      <pivotArea dataOnly="0" labelOnly="1" fieldPosition="0">
        <references count="1">
          <reference field="0" count="0"/>
        </references>
      </pivotArea>
    </format>
    <format dxfId="143">
      <pivotArea dataOnly="0" labelOnly="1" grandRow="1" outline="0" fieldPosition="0"/>
    </format>
    <format dxfId="142">
      <pivotArea field="1" type="button" dataOnly="0" labelOnly="1" outline="0" axis="axisPage" fieldPosition="0"/>
    </format>
    <format dxfId="141">
      <pivotArea field="0" type="button" dataOnly="0" labelOnly="1" outline="0" axis="axisRow" fieldPosition="0"/>
    </format>
    <format dxfId="140">
      <pivotArea dataOnly="0" labelOnly="1" fieldPosition="0">
        <references count="1">
          <reference field="0" count="0"/>
        </references>
      </pivotArea>
    </format>
    <format dxfId="139">
      <pivotArea dataOnly="0" labelOnly="1" grandRow="1" outline="0" fieldPosition="0"/>
    </format>
    <format dxfId="138">
      <pivotArea field="1" type="button" dataOnly="0" labelOnly="1" outline="0" axis="axisPage"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grandRow="1" outline="0" fieldPosition="0"/>
    </format>
    <format dxfId="134">
      <pivotArea dataOnly="0" labelOnly="1" outline="0" fieldPosition="0">
        <references count="1">
          <reference field="4294967294" count="2">
            <x v="0"/>
            <x v="1"/>
          </reference>
        </references>
      </pivotArea>
    </format>
    <format dxfId="133">
      <pivotArea dataOnly="0" labelOnly="1" outline="0" fieldPosition="0">
        <references count="1">
          <reference field="4294967294" count="2">
            <x v="0"/>
            <x v="1"/>
          </reference>
        </references>
      </pivotArea>
    </format>
    <format dxfId="132">
      <pivotArea dataOnly="0" labelOnly="1" outline="0" fieldPosition="0">
        <references count="1">
          <reference field="4294967294" count="1">
            <x v="2"/>
          </reference>
        </references>
      </pivotArea>
    </format>
  </formats>
  <chartFormats count="3">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4"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rowHeaderCaption="FY">
  <location ref="A3:C24" firstHeaderRow="0" firstDataRow="1" firstDataCol="1" rowPageCount="1" colPageCount="1"/>
  <pivotFields count="14">
    <pivotField axis="axisRow" showAll="0">
      <items count="24">
        <item h="1" x="0"/>
        <item h="1" x="1"/>
        <item h="1" x="2"/>
        <item x="3"/>
        <item x="4"/>
        <item x="5"/>
        <item x="6"/>
        <item x="7"/>
        <item x="8"/>
        <item x="9"/>
        <item x="10"/>
        <item x="11"/>
        <item x="12"/>
        <item x="13"/>
        <item x="14"/>
        <item x="15"/>
        <item x="16"/>
        <item x="17"/>
        <item x="18"/>
        <item x="19"/>
        <item x="20"/>
        <item x="21"/>
        <item x="22"/>
        <item t="default"/>
      </items>
    </pivotField>
    <pivotField axis="axisPage" multipleItemSelectionAllowed="1" showAll="0">
      <items count="13">
        <item h="1" x="3"/>
        <item h="1" m="1" x="10"/>
        <item h="1" x="6"/>
        <item h="1" m="1" x="11"/>
        <item h="1" x="4"/>
        <item h="1" x="7"/>
        <item h="1" x="8"/>
        <item h="1" x="1"/>
        <item x="5"/>
        <item h="1" x="9"/>
        <item h="1" x="2"/>
        <item h="1" x="0"/>
        <item t="default"/>
      </items>
    </pivotField>
    <pivotField dataField="1" showAll="0" defaultSubtotal="0"/>
    <pivotField dataField="1" showAll="0" defaultSubtotal="0"/>
    <pivotField numFmtId="3" showAll="0" defaultSubtotal="0"/>
    <pivotField numFmtId="166" showAll="0" defaultSubtotal="0"/>
    <pivotField showAll="0" defaultSubtotal="0"/>
    <pivotField numFmtId="166" showAll="0" defaultSubtotal="0"/>
    <pivotField numFmtId="3" showAll="0" defaultSubtotal="0"/>
    <pivotField numFmtId="6" showAll="0" defaultSubtotal="0"/>
    <pivotField numFmtId="166" showAll="0" defaultSubtotal="0"/>
    <pivotField showAll="0" defaultSubtotal="0"/>
    <pivotField numFmtId="166" showAll="0" defaultSubtotal="0"/>
    <pivotField numFmtId="6" showAll="0" defaultSubtotal="0"/>
  </pivotFields>
  <rowFields count="1">
    <field x="0"/>
  </rowFields>
  <rowItems count="21">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pageFields count="1">
    <pageField fld="1" hier="-1"/>
  </pageFields>
  <dataFields count="2">
    <dataField name="Sum of AOP PLANNED VOLUME" fld="2" baseField="1" baseItem="7" numFmtId="38"/>
    <dataField name="Sum of SOLD VOLUME" fld="3" baseField="1" baseItem="7"/>
  </dataFields>
  <formats count="36">
    <format dxfId="131">
      <pivotArea field="0" type="button" dataOnly="0" labelOnly="1" outline="0" axis="axisRow" fieldPosition="0"/>
    </format>
    <format dxfId="130">
      <pivotArea type="all" dataOnly="0" outline="0" fieldPosition="0"/>
    </format>
    <format dxfId="129">
      <pivotArea outline="0" collapsedLevelsAreSubtotals="1" fieldPosition="0"/>
    </format>
    <format dxfId="128">
      <pivotArea field="0" type="button" dataOnly="0" labelOnly="1" outline="0" axis="axisRow" fieldPosition="0"/>
    </format>
    <format dxfId="127">
      <pivotArea dataOnly="0" labelOnly="1" fieldPosition="0">
        <references count="1">
          <reference field="0" count="0"/>
        </references>
      </pivotArea>
    </format>
    <format dxfId="126">
      <pivotArea dataOnly="0" labelOnly="1" grandRow="1" outline="0" fieldPosition="0"/>
    </format>
    <format dxfId="125">
      <pivotArea field="0" type="button" dataOnly="0" labelOnly="1" outline="0" axis="axisRow" fieldPosition="0"/>
    </format>
    <format dxfId="124">
      <pivotArea dataOnly="0" labelOnly="1" outline="0" fieldPosition="0">
        <references count="1">
          <reference field="4294967294" count="2">
            <x v="0"/>
            <x v="1"/>
          </reference>
        </references>
      </pivotArea>
    </format>
    <format dxfId="123">
      <pivotArea field="0" type="button" dataOnly="0" labelOnly="1" outline="0" axis="axisRow" fieldPosition="0"/>
    </format>
    <format dxfId="122">
      <pivotArea dataOnly="0" labelOnly="1" outline="0" fieldPosition="0">
        <references count="1">
          <reference field="4294967294" count="2">
            <x v="0"/>
            <x v="1"/>
          </reference>
        </references>
      </pivotArea>
    </format>
    <format dxfId="121">
      <pivotArea field="0" type="button" dataOnly="0" labelOnly="1" outline="0" axis="axisRow" fieldPosition="0"/>
    </format>
    <format dxfId="120">
      <pivotArea dataOnly="0" labelOnly="1" outline="0" fieldPosition="0">
        <references count="1">
          <reference field="4294967294" count="2">
            <x v="0"/>
            <x v="1"/>
          </reference>
        </references>
      </pivotArea>
    </format>
    <format dxfId="119">
      <pivotArea field="0" type="button" dataOnly="0" labelOnly="1" outline="0" axis="axisRow" fieldPosition="0"/>
    </format>
    <format dxfId="118">
      <pivotArea dataOnly="0" labelOnly="1" outline="0" fieldPosition="0">
        <references count="1">
          <reference field="4294967294" count="2">
            <x v="0"/>
            <x v="1"/>
          </reference>
        </references>
      </pivotArea>
    </format>
    <format dxfId="117">
      <pivotArea outline="0" collapsedLevelsAreSubtotals="1" fieldPosition="0"/>
    </format>
    <format dxfId="116">
      <pivotArea dataOnly="0" labelOnly="1" outline="0" fieldPosition="0">
        <references count="1">
          <reference field="4294967294" count="2">
            <x v="0"/>
            <x v="1"/>
          </reference>
        </references>
      </pivotArea>
    </format>
    <format dxfId="115">
      <pivotArea dataOnly="0" outline="0" fieldPosition="0">
        <references count="1">
          <reference field="4294967294" count="2">
            <x v="0"/>
            <x v="1"/>
          </reference>
        </references>
      </pivotArea>
    </format>
    <format dxfId="114">
      <pivotArea type="all" dataOnly="0" outline="0" fieldPosition="0"/>
    </format>
    <format dxfId="113">
      <pivotArea outline="0" collapsedLevelsAreSubtotals="1" fieldPosition="0"/>
    </format>
    <format dxfId="112">
      <pivotArea field="0" type="button" dataOnly="0" labelOnly="1" outline="0" axis="axisRow" fieldPosition="0"/>
    </format>
    <format dxfId="111">
      <pivotArea dataOnly="0" labelOnly="1" fieldPosition="0">
        <references count="1">
          <reference field="0" count="0"/>
        </references>
      </pivotArea>
    </format>
    <format dxfId="110">
      <pivotArea dataOnly="0" labelOnly="1" grandRow="1" outline="0" fieldPosition="0"/>
    </format>
    <format dxfId="109">
      <pivotArea dataOnly="0" labelOnly="1" outline="0" fieldPosition="0">
        <references count="1">
          <reference field="4294967294" count="2">
            <x v="0"/>
            <x v="1"/>
          </reference>
        </references>
      </pivotArea>
    </format>
    <format dxfId="108">
      <pivotArea field="0" type="button" dataOnly="0" labelOnly="1" outline="0" axis="axisRow" fieldPosition="0"/>
    </format>
    <format dxfId="107">
      <pivotArea dataOnly="0" labelOnly="1" outline="0" fieldPosition="0">
        <references count="1">
          <reference field="4294967294" count="2">
            <x v="0"/>
            <x v="1"/>
          </reference>
        </references>
      </pivotArea>
    </format>
    <format dxfId="106">
      <pivotArea field="0" type="button" dataOnly="0" labelOnly="1" outline="0" axis="axisRow" fieldPosition="0"/>
    </format>
    <format dxfId="105">
      <pivotArea dataOnly="0" labelOnly="1" outline="0" fieldPosition="0">
        <references count="1">
          <reference field="4294967294" count="2">
            <x v="0"/>
            <x v="1"/>
          </reference>
        </references>
      </pivotArea>
    </format>
    <format dxfId="104">
      <pivotArea grandRow="1" outline="0" collapsedLevelsAreSubtotals="1" fieldPosition="0"/>
    </format>
    <format dxfId="103">
      <pivotArea dataOnly="0" labelOnly="1" grandRow="1" outline="0" fieldPosition="0"/>
    </format>
    <format dxfId="102">
      <pivotArea grandRow="1" outline="0" collapsedLevelsAreSubtotals="1" fieldPosition="0"/>
    </format>
    <format dxfId="101">
      <pivotArea dataOnly="0" labelOnly="1" grandRow="1" outline="0" fieldPosition="0"/>
    </format>
    <format dxfId="100">
      <pivotArea field="0" type="button" dataOnly="0" labelOnly="1" outline="0" axis="axisRow" fieldPosition="0"/>
    </format>
    <format dxfId="99">
      <pivotArea dataOnly="0" labelOnly="1" outline="0" fieldPosition="0">
        <references count="1">
          <reference field="4294967294" count="2">
            <x v="0"/>
            <x v="1"/>
          </reference>
        </references>
      </pivotArea>
    </format>
    <format dxfId="98">
      <pivotArea field="0" type="button" dataOnly="0" labelOnly="1" outline="0" axis="axisRow" fieldPosition="0"/>
    </format>
    <format dxfId="97">
      <pivotArea dataOnly="0" labelOnly="1" outline="0" fieldPosition="0">
        <references count="1">
          <reference field="4294967294" count="1">
            <x v="0"/>
          </reference>
        </references>
      </pivotArea>
    </format>
    <format dxfId="96">
      <pivotArea dataOnly="0" labelOnly="1" outline="0" fieldPosition="0">
        <references count="1">
          <reference field="4294967294" count="1">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6" rowHeaderCaption="FY">
  <location ref="A3:D23" firstHeaderRow="0" firstDataRow="1" firstDataCol="1" rowPageCount="1" colPageCount="1"/>
  <pivotFields count="13">
    <pivotField axis="axisPage" multipleItemSelectionAllowed="1" showAll="0">
      <items count="14">
        <item h="1" x="0"/>
        <item h="1" x="10"/>
        <item h="1" x="7"/>
        <item h="1" x="1"/>
        <item h="1" x="3"/>
        <item h="1" x="8"/>
        <item h="1" x="12"/>
        <item h="1" x="9"/>
        <item h="1" x="4"/>
        <item x="11"/>
        <item h="1" x="2"/>
        <item h="1" x="6"/>
        <item h="1" x="5"/>
        <item t="default"/>
      </items>
    </pivotField>
    <pivotField axis="axisRow" showAll="0">
      <items count="23">
        <item x="0"/>
        <item x="1"/>
        <item x="2"/>
        <item x="3"/>
        <item x="4"/>
        <item x="5"/>
        <item x="6"/>
        <item x="7"/>
        <item x="8"/>
        <item x="9"/>
        <item x="10"/>
        <item x="11"/>
        <item x="12"/>
        <item x="13"/>
        <item x="14"/>
        <item x="15"/>
        <item x="16"/>
        <item x="17"/>
        <item x="18"/>
        <item x="19"/>
        <item h="1" x="20"/>
        <item h="1" x="21"/>
        <item t="default"/>
      </items>
    </pivotField>
    <pivotField dataField="1" showAll="0"/>
    <pivotField showAll="0"/>
    <pivotField showAll="0"/>
    <pivotField dataField="1" showAll="0"/>
    <pivotField showAll="0"/>
    <pivotField showAll="0"/>
    <pivotField dataField="1" showAll="0"/>
    <pivotField showAll="0"/>
    <pivotField showAll="0"/>
    <pivotField dragToRow="0" dragToCol="0" dragToPage="0" showAll="0" defaultSubtotal="0"/>
    <pivotField dragToRow="0" dragToCol="0" dragToPage="0" showAll="0" defaultSubtotal="0"/>
  </pivotFields>
  <rowFields count="1">
    <field x="1"/>
  </rowFields>
  <rowItems count="20">
    <i>
      <x/>
    </i>
    <i>
      <x v="1"/>
    </i>
    <i>
      <x v="2"/>
    </i>
    <i>
      <x v="3"/>
    </i>
    <i>
      <x v="4"/>
    </i>
    <i>
      <x v="5"/>
    </i>
    <i>
      <x v="6"/>
    </i>
    <i>
      <x v="7"/>
    </i>
    <i>
      <x v="8"/>
    </i>
    <i>
      <x v="9"/>
    </i>
    <i>
      <x v="10"/>
    </i>
    <i>
      <x v="11"/>
    </i>
    <i>
      <x v="12"/>
    </i>
    <i>
      <x v="13"/>
    </i>
    <i>
      <x v="14"/>
    </i>
    <i>
      <x v="15"/>
    </i>
    <i>
      <x v="16"/>
    </i>
    <i>
      <x v="17"/>
    </i>
    <i>
      <x v="18"/>
    </i>
    <i>
      <x v="19"/>
    </i>
  </rowItems>
  <colFields count="1">
    <field x="-2"/>
  </colFields>
  <colItems count="3">
    <i>
      <x/>
    </i>
    <i i="1">
      <x v="1"/>
    </i>
    <i i="2">
      <x v="2"/>
    </i>
  </colItems>
  <pageFields count="1">
    <pageField fld="0" hier="-1"/>
  </pageFields>
  <dataFields count="3">
    <dataField name="Sum of TOTAL AOP Planned Volume" fld="2" baseField="1" baseItem="0" numFmtId="38"/>
    <dataField name="Sum of TOTALSold Volume" fld="5" baseField="1" baseItem="0" numFmtId="3"/>
    <dataField name="Sum of TOTAL Harvested Volume (MBF)" fld="8" baseField="1" baseItem="0" numFmtId="38"/>
  </dataFields>
  <formats count="32">
    <format dxfId="55">
      <pivotArea field="1" type="button" dataOnly="0" labelOnly="1" outline="0" axis="axisRow" fieldPosition="0"/>
    </format>
    <format dxfId="54">
      <pivotArea dataOnly="0" labelOnly="1" outline="0" fieldPosition="0">
        <references count="1">
          <reference field="4294967294" count="3">
            <x v="0"/>
            <x v="1"/>
            <x v="2"/>
          </reference>
        </references>
      </pivotArea>
    </format>
    <format dxfId="53">
      <pivotArea field="1" type="button" dataOnly="0" labelOnly="1" outline="0" axis="axisRow" fieldPosition="0"/>
    </format>
    <format dxfId="52">
      <pivotArea dataOnly="0" labelOnly="1" outline="0" fieldPosition="0">
        <references count="1">
          <reference field="4294967294" count="3">
            <x v="0"/>
            <x v="1"/>
            <x v="2"/>
          </reference>
        </references>
      </pivotArea>
    </format>
    <format dxfId="51">
      <pivotArea field="1" type="button" dataOnly="0" labelOnly="1" outline="0" axis="axisRow" fieldPosition="0"/>
    </format>
    <format dxfId="50">
      <pivotArea dataOnly="0" labelOnly="1" outline="0" fieldPosition="0">
        <references count="1">
          <reference field="4294967294" count="3">
            <x v="0"/>
            <x v="1"/>
            <x v="2"/>
          </reference>
        </references>
      </pivotArea>
    </format>
    <format dxfId="49">
      <pivotArea field="1" type="button" dataOnly="0" labelOnly="1" outline="0" axis="axisRow" fieldPosition="0"/>
    </format>
    <format dxfId="48">
      <pivotArea dataOnly="0" labelOnly="1" outline="0" fieldPosition="0">
        <references count="1">
          <reference field="4294967294" count="3">
            <x v="0"/>
            <x v="1"/>
            <x v="2"/>
          </reference>
        </references>
      </pivotArea>
    </format>
    <format dxfId="47">
      <pivotArea field="0" type="button" dataOnly="0" labelOnly="1" outline="0" axis="axisPage" fieldPosition="0"/>
    </format>
    <format dxfId="46">
      <pivotArea field="1" type="button" dataOnly="0" labelOnly="1" outline="0" axis="axisRow" fieldPosition="0"/>
    </format>
    <format dxfId="45">
      <pivotArea dataOnly="0" labelOnly="1" outline="0" fieldPosition="0">
        <references count="1">
          <reference field="4294967294" count="3">
            <x v="0"/>
            <x v="1"/>
            <x v="2"/>
          </reference>
        </references>
      </pivotArea>
    </format>
    <format dxfId="44">
      <pivotArea outline="0" collapsedLevelsAreSubtotals="1" fieldPosition="0"/>
    </format>
    <format dxfId="43">
      <pivotArea dataOnly="0" labelOnly="1" outline="0" fieldPosition="0">
        <references count="1">
          <reference field="0" count="0"/>
        </references>
      </pivotArea>
    </format>
    <format dxfId="42">
      <pivotArea dataOnly="0" labelOnly="1" outline="0" fieldPosition="0">
        <references count="1">
          <reference field="4294967294" count="3">
            <x v="0"/>
            <x v="1"/>
            <x v="2"/>
          </reference>
        </references>
      </pivotArea>
    </format>
    <format dxfId="41">
      <pivotArea field="1" type="button" dataOnly="0" labelOnly="1" outline="0" axis="axisRow" fieldPosition="0"/>
    </format>
    <format dxfId="40">
      <pivotArea dataOnly="0" labelOnly="1" outline="0" fieldPosition="0">
        <references count="1">
          <reference field="4294967294" count="3">
            <x v="0"/>
            <x v="1"/>
            <x v="2"/>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2"/>
          </reference>
        </references>
      </pivotArea>
    </format>
    <format dxfId="37">
      <pivotArea field="0" type="button" dataOnly="0" labelOnly="1" outline="0" axis="axisPage" fieldPosition="0"/>
    </format>
    <format dxfId="36">
      <pivotArea field="1" type="button" dataOnly="0" labelOnly="1" outline="0" axis="axisRow" fieldPosition="0"/>
    </format>
    <format dxfId="35">
      <pivotArea dataOnly="0" labelOnly="1" fieldPosition="0">
        <references count="1">
          <reference field="1" count="0"/>
        </references>
      </pivotArea>
    </format>
    <format dxfId="34">
      <pivotArea dataOnly="0" labelOnly="1" grandRow="1" outline="0" fieldPosition="0"/>
    </format>
    <format dxfId="33">
      <pivotArea dataOnly="0" labelOnly="1" outline="0" fieldPosition="0">
        <references count="1">
          <reference field="0" count="0"/>
        </references>
      </pivotArea>
    </format>
    <format dxfId="32">
      <pivotArea dataOnly="0" labelOnly="1" outline="0" fieldPosition="0">
        <references count="1">
          <reference field="0" count="0"/>
        </references>
      </pivotArea>
    </format>
    <format dxfId="31">
      <pivotArea dataOnly="0" labelOnly="1" outline="0" fieldPosition="0">
        <references count="1">
          <reference field="0" count="0"/>
        </references>
      </pivotArea>
    </format>
    <format dxfId="30">
      <pivotArea dataOnly="0" labelOnly="1" outline="0" fieldPosition="0">
        <references count="1">
          <reference field="0" count="0"/>
        </references>
      </pivotArea>
    </format>
    <format dxfId="29">
      <pivotArea type="all" dataOnly="0" outline="0" fieldPosition="0"/>
    </format>
    <format dxfId="28">
      <pivotArea outline="0" collapsedLevelsAreSubtotals="1" fieldPosition="0"/>
    </format>
    <format dxfId="27">
      <pivotArea field="1" type="button" dataOnly="0" labelOnly="1" outline="0" axis="axisRow" fieldPosition="0"/>
    </format>
    <format dxfId="26">
      <pivotArea dataOnly="0" labelOnly="1" fieldPosition="0">
        <references count="1">
          <reference field="1" count="0"/>
        </references>
      </pivotArea>
    </format>
    <format dxfId="25">
      <pivotArea dataOnly="0" labelOnly="1" outline="0" fieldPosition="0">
        <references count="1">
          <reference field="4294967294" count="3">
            <x v="0"/>
            <x v="1"/>
            <x v="2"/>
          </reference>
        </references>
      </pivotArea>
    </format>
    <format dxfId="24">
      <pivotArea dataOnly="0" labelOnly="1" outline="0" fieldPosition="0">
        <references count="1">
          <reference field="0" count="0"/>
        </references>
      </pivotArea>
    </format>
  </formats>
  <chartFormats count="3">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14" rowHeaderCaption="FY">
  <location ref="A39:F59" firstHeaderRow="0" firstDataRow="1" firstDataCol="1" rowPageCount="1" colPageCount="1"/>
  <pivotFields count="13">
    <pivotField axis="axisPage" multipleItemSelectionAllowed="1" showAll="0">
      <items count="14">
        <item x="0"/>
        <item h="1" x="10"/>
        <item x="7"/>
        <item h="1" x="1"/>
        <item x="3"/>
        <item x="8"/>
        <item h="1" x="12"/>
        <item x="9"/>
        <item x="4"/>
        <item h="1" x="11"/>
        <item x="2"/>
        <item x="6"/>
        <item x="5"/>
        <item t="default"/>
      </items>
    </pivotField>
    <pivotField axis="axisRow" showAll="0">
      <items count="23">
        <item x="0"/>
        <item x="1"/>
        <item x="2"/>
        <item x="3"/>
        <item x="4"/>
        <item x="5"/>
        <item x="6"/>
        <item x="7"/>
        <item x="8"/>
        <item x="9"/>
        <item x="10"/>
        <item x="11"/>
        <item x="12"/>
        <item x="13"/>
        <item x="14"/>
        <item x="15"/>
        <item x="16"/>
        <item x="17"/>
        <item x="18"/>
        <item x="19"/>
        <item h="1" x="20"/>
        <item h="1" x="21"/>
        <item t="default"/>
      </items>
    </pivotField>
    <pivotField dataField="1" showAll="0"/>
    <pivotField showAll="0"/>
    <pivotField showAll="0"/>
    <pivotField dataField="1" showAll="0"/>
    <pivotField showAll="0"/>
    <pivotField showAll="0"/>
    <pivotField dataField="1" showAll="0"/>
    <pivotField showAll="0"/>
    <pivotField showAll="0"/>
    <pivotField dataField="1" dragToRow="0" dragToCol="0" dragToPage="0" showAll="0" defaultSubtotal="0"/>
    <pivotField dataField="1" dragToRow="0" dragToCol="0" dragToPage="0" showAll="0" defaultSubtotal="0"/>
  </pivotFields>
  <rowFields count="1">
    <field x="1"/>
  </rowFields>
  <rowItems count="20">
    <i>
      <x/>
    </i>
    <i>
      <x v="1"/>
    </i>
    <i>
      <x v="2"/>
    </i>
    <i>
      <x v="3"/>
    </i>
    <i>
      <x v="4"/>
    </i>
    <i>
      <x v="5"/>
    </i>
    <i>
      <x v="6"/>
    </i>
    <i>
      <x v="7"/>
    </i>
    <i>
      <x v="8"/>
    </i>
    <i>
      <x v="9"/>
    </i>
    <i>
      <x v="10"/>
    </i>
    <i>
      <x v="11"/>
    </i>
    <i>
      <x v="12"/>
    </i>
    <i>
      <x v="13"/>
    </i>
    <i>
      <x v="14"/>
    </i>
    <i>
      <x v="15"/>
    </i>
    <i>
      <x v="16"/>
    </i>
    <i>
      <x v="17"/>
    </i>
    <i>
      <x v="18"/>
    </i>
    <i>
      <x v="19"/>
    </i>
  </rowItems>
  <colFields count="1">
    <field x="-2"/>
  </colFields>
  <colItems count="5">
    <i>
      <x/>
    </i>
    <i i="1">
      <x v="1"/>
    </i>
    <i i="2">
      <x v="2"/>
    </i>
    <i i="3">
      <x v="3"/>
    </i>
    <i i="4">
      <x v="4"/>
    </i>
  </colItems>
  <pageFields count="1">
    <pageField fld="0" hier="-1"/>
  </pageFields>
  <dataFields count="5">
    <dataField name="Sum of TOTAL AOP Planned Volume" fld="2" baseField="1" baseItem="0" numFmtId="38"/>
    <dataField name="Sum of TOTALSold Volume" fld="5" baseField="1" baseItem="0" numFmtId="3"/>
    <dataField name="Sum of TOTAL Harvested Volume (MBF)" fld="8" baseField="1" baseItem="0" numFmtId="38"/>
    <dataField name="Sum of AOPvsHarv" fld="11" baseField="1" baseItem="4" numFmtId="166"/>
    <dataField name="Sum of SoldVsHarv" fld="12" baseField="1" baseItem="4" numFmtId="166"/>
  </dataFields>
  <formats count="40">
    <format dxfId="95">
      <pivotArea field="1" type="button" dataOnly="0" labelOnly="1" outline="0" axis="axisRow" fieldPosition="0"/>
    </format>
    <format dxfId="94">
      <pivotArea dataOnly="0" labelOnly="1" outline="0" fieldPosition="0">
        <references count="1">
          <reference field="4294967294" count="3">
            <x v="0"/>
            <x v="1"/>
            <x v="2"/>
          </reference>
        </references>
      </pivotArea>
    </format>
    <format dxfId="93">
      <pivotArea field="1" type="button" dataOnly="0" labelOnly="1" outline="0" axis="axisRow" fieldPosition="0"/>
    </format>
    <format dxfId="92">
      <pivotArea dataOnly="0" labelOnly="1" outline="0" fieldPosition="0">
        <references count="1">
          <reference field="4294967294" count="3">
            <x v="0"/>
            <x v="1"/>
            <x v="2"/>
          </reference>
        </references>
      </pivotArea>
    </format>
    <format dxfId="91">
      <pivotArea field="1" type="button" dataOnly="0" labelOnly="1" outline="0" axis="axisRow" fieldPosition="0"/>
    </format>
    <format dxfId="90">
      <pivotArea dataOnly="0" labelOnly="1" outline="0" fieldPosition="0">
        <references count="1">
          <reference field="4294967294" count="3">
            <x v="0"/>
            <x v="1"/>
            <x v="2"/>
          </reference>
        </references>
      </pivotArea>
    </format>
    <format dxfId="89">
      <pivotArea field="1" type="button" dataOnly="0" labelOnly="1" outline="0" axis="axisRow" fieldPosition="0"/>
    </format>
    <format dxfId="88">
      <pivotArea dataOnly="0" labelOnly="1" outline="0" fieldPosition="0">
        <references count="1">
          <reference field="4294967294" count="3">
            <x v="0"/>
            <x v="1"/>
            <x v="2"/>
          </reference>
        </references>
      </pivotArea>
    </format>
    <format dxfId="87">
      <pivotArea field="0" type="button" dataOnly="0" labelOnly="1" outline="0" axis="axisPage" fieldPosition="0"/>
    </format>
    <format dxfId="86">
      <pivotArea field="1" type="button" dataOnly="0" labelOnly="1" outline="0" axis="axisRow" fieldPosition="0"/>
    </format>
    <format dxfId="85">
      <pivotArea dataOnly="0" labelOnly="1" outline="0" fieldPosition="0">
        <references count="1">
          <reference field="4294967294" count="3">
            <x v="0"/>
            <x v="1"/>
            <x v="2"/>
          </reference>
        </references>
      </pivotArea>
    </format>
    <format dxfId="84">
      <pivotArea outline="0" collapsedLevelsAreSubtotals="1" fieldPosition="0"/>
    </format>
    <format dxfId="83">
      <pivotArea dataOnly="0" labelOnly="1" outline="0" fieldPosition="0">
        <references count="1">
          <reference field="0" count="0"/>
        </references>
      </pivotArea>
    </format>
    <format dxfId="82">
      <pivotArea dataOnly="0" labelOnly="1" outline="0" fieldPosition="0">
        <references count="1">
          <reference field="4294967294" count="3">
            <x v="0"/>
            <x v="1"/>
            <x v="2"/>
          </reference>
        </references>
      </pivotArea>
    </format>
    <format dxfId="81">
      <pivotArea field="1" type="button" dataOnly="0" labelOnly="1" outline="0" axis="axisRow" fieldPosition="0"/>
    </format>
    <format dxfId="80">
      <pivotArea dataOnly="0" labelOnly="1" outline="0" fieldPosition="0">
        <references count="1">
          <reference field="4294967294" count="3">
            <x v="0"/>
            <x v="1"/>
            <x v="2"/>
          </reference>
        </references>
      </pivotArea>
    </format>
    <format dxfId="79">
      <pivotArea field="1" type="button" dataOnly="0" labelOnly="1" outline="0" axis="axisRow" fieldPosition="0"/>
    </format>
    <format dxfId="78">
      <pivotArea dataOnly="0" labelOnly="1" outline="0" fieldPosition="0">
        <references count="1">
          <reference field="4294967294" count="3">
            <x v="0"/>
            <x v="1"/>
            <x v="2"/>
          </reference>
        </references>
      </pivotArea>
    </format>
    <format dxfId="77">
      <pivotArea field="0" type="button" dataOnly="0" labelOnly="1" outline="0" axis="axisPage" fieldPosition="0"/>
    </format>
    <format dxfId="76">
      <pivotArea field="1" type="button" dataOnly="0" labelOnly="1" outline="0" axis="axisRow" fieldPosition="0"/>
    </format>
    <format dxfId="75">
      <pivotArea dataOnly="0" labelOnly="1" fieldPosition="0">
        <references count="1">
          <reference field="1" count="0"/>
        </references>
      </pivotArea>
    </format>
    <format dxfId="74">
      <pivotArea dataOnly="0" labelOnly="1" grandRow="1" outline="0" fieldPosition="0"/>
    </format>
    <format dxfId="73">
      <pivotArea dataOnly="0" labelOnly="1" outline="0" fieldPosition="0">
        <references count="1">
          <reference field="0" count="0"/>
        </references>
      </pivotArea>
    </format>
    <format dxfId="72">
      <pivotArea dataOnly="0" labelOnly="1" outline="0" fieldPosition="0">
        <references count="1">
          <reference field="0" count="0"/>
        </references>
      </pivotArea>
    </format>
    <format dxfId="71">
      <pivotArea dataOnly="0" labelOnly="1" outline="0" fieldPosition="0">
        <references count="1">
          <reference field="0" count="0"/>
        </references>
      </pivotArea>
    </format>
    <format dxfId="70">
      <pivotArea dataOnly="0" labelOnly="1" outline="0" fieldPosition="0">
        <references count="1">
          <reference field="0" count="0"/>
        </references>
      </pivotArea>
    </format>
    <format dxfId="69">
      <pivotArea type="all" dataOnly="0" outline="0" fieldPosition="0"/>
    </format>
    <format dxfId="68">
      <pivotArea outline="0" collapsedLevelsAreSubtotals="1" fieldPosition="0"/>
    </format>
    <format dxfId="67">
      <pivotArea field="1" type="button" dataOnly="0" labelOnly="1" outline="0" axis="axisRow" fieldPosition="0"/>
    </format>
    <format dxfId="66">
      <pivotArea dataOnly="0" labelOnly="1" fieldPosition="0">
        <references count="1">
          <reference field="1" count="0"/>
        </references>
      </pivotArea>
    </format>
    <format dxfId="65">
      <pivotArea dataOnly="0" labelOnly="1" outline="0" fieldPosition="0">
        <references count="1">
          <reference field="4294967294" count="3">
            <x v="0"/>
            <x v="1"/>
            <x v="2"/>
          </reference>
        </references>
      </pivotArea>
    </format>
    <format dxfId="64">
      <pivotArea dataOnly="0" labelOnly="1" outline="0" fieldPosition="0">
        <references count="1">
          <reference field="0" count="0"/>
        </references>
      </pivotArea>
    </format>
    <format dxfId="63">
      <pivotArea outline="0" fieldPosition="0">
        <references count="1">
          <reference field="4294967294" count="1">
            <x v="4"/>
          </reference>
        </references>
      </pivotArea>
    </format>
    <format dxfId="62">
      <pivotArea outline="0" fieldPosition="0">
        <references count="1">
          <reference field="4294967294" count="1">
            <x v="3"/>
          </reference>
        </references>
      </pivotArea>
    </format>
    <format dxfId="61">
      <pivotArea dataOnly="0" labelOnly="1" outline="0" fieldPosition="0">
        <references count="1">
          <reference field="4294967294" count="2">
            <x v="3"/>
            <x v="4"/>
          </reference>
        </references>
      </pivotArea>
    </format>
    <format dxfId="60">
      <pivotArea dataOnly="0" labelOnly="1" outline="0" fieldPosition="0">
        <references count="1">
          <reference field="4294967294" count="2">
            <x v="3"/>
            <x v="4"/>
          </reference>
        </references>
      </pivotArea>
    </format>
    <format dxfId="59">
      <pivotArea dataOnly="0" labelOnly="1" outline="0" fieldPosition="0">
        <references count="1">
          <reference field="4294967294" count="2">
            <x v="3"/>
            <x v="4"/>
          </reference>
        </references>
      </pivotArea>
    </format>
    <format dxfId="58">
      <pivotArea dataOnly="0" labelOnly="1" outline="0" fieldPosition="0">
        <references count="1">
          <reference field="4294967294" count="2">
            <x v="3"/>
            <x v="4"/>
          </reference>
        </references>
      </pivotArea>
    </format>
    <format dxfId="57">
      <pivotArea dataOnly="0" labelOnly="1" outline="0" fieldPosition="0">
        <references count="1">
          <reference field="4294967294" count="2">
            <x v="3"/>
            <x v="4"/>
          </reference>
        </references>
      </pivotArea>
    </format>
    <format dxfId="56">
      <pivotArea dataOnly="0" labelOnly="1" outline="0" fieldPosition="0">
        <references count="1">
          <reference field="4294967294" count="2">
            <x v="3"/>
            <x v="4"/>
          </reference>
        </references>
      </pivotArea>
    </format>
  </formats>
  <chartFormats count="6">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5"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1"/>
          </reference>
        </references>
      </pivotArea>
    </chartFormat>
    <chartFormat chart="5" format="2" series="1">
      <pivotArea type="data" outline="0" fieldPosition="0">
        <references count="1">
          <reference field="4294967294" count="1" selected="0">
            <x v="2"/>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4">
  <location ref="A3:BS13" firstHeaderRow="0" firstDataRow="1" firstDataCol="4"/>
  <pivotFields count="72">
    <pivotField axis="axisRow" compact="0" outline="0" showAll="0">
      <items count="5">
        <item x="1"/>
        <item x="2"/>
        <item x="3"/>
        <item h="1" x="0"/>
        <item t="default"/>
      </items>
    </pivotField>
    <pivotField compact="0" outline="0" showAll="0" defaultSubtotal="0"/>
    <pivotField axis="axisRow" compact="0" outline="0" showAll="0" defaultSubtotal="0">
      <items count="11">
        <item x="3"/>
        <item x="0"/>
        <item x="5"/>
        <item x="4"/>
        <item x="6"/>
        <item x="7"/>
        <item x="2"/>
        <item x="10"/>
        <item x="9"/>
        <item x="8"/>
        <item x="1"/>
      </items>
    </pivotField>
    <pivotField compact="0" outline="0" showAll="0"/>
    <pivotField axis="axisRow" compact="0" outline="0" showAll="0" defaultSubtota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pivotField>
    <pivotField dataField="1" compact="0" outline="0" showAll="0"/>
    <pivotField dataField="1" compact="0" outline="0" showAl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3"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3" outline="0" showAll="0"/>
    <pivotField dataField="1" compact="0" numFmtId="3" outline="0" showAll="0"/>
    <pivotField dataField="1" compact="0" numFmtId="3" outline="0" showAll="0"/>
    <pivotField axis="axisRow" dataField="1" compact="0" outline="0" showAll="0" defaultSubtotal="0">
      <items count="15">
        <item x="6"/>
        <item x="1"/>
        <item x="12"/>
        <item x="2"/>
        <item x="4"/>
        <item x="11"/>
        <item x="5"/>
        <item x="8"/>
        <item x="9"/>
        <item x="10"/>
        <item x="7"/>
        <item x="14"/>
        <item x="13"/>
        <item x="3"/>
        <item x="0"/>
      </items>
    </pivotField>
  </pivotFields>
  <rowFields count="4">
    <field x="0"/>
    <field x="2"/>
    <field x="4"/>
    <field x="71"/>
  </rowFields>
  <rowItems count="10">
    <i>
      <x/>
      <x/>
      <x v="3"/>
      <x v="13"/>
    </i>
    <i r="1">
      <x v="3"/>
      <x v="4"/>
      <x v="14"/>
    </i>
    <i t="default">
      <x/>
    </i>
    <i>
      <x v="1"/>
      <x v="2"/>
      <x v="5"/>
      <x v="4"/>
    </i>
    <i t="default">
      <x v="1"/>
    </i>
    <i>
      <x v="2"/>
      <x v="3"/>
      <x v="30"/>
      <x v="11"/>
    </i>
    <i r="2">
      <x v="32"/>
      <x v="14"/>
    </i>
    <i r="1">
      <x v="8"/>
      <x v="25"/>
      <x v="12"/>
    </i>
    <i t="default">
      <x v="2"/>
    </i>
    <i t="grand">
      <x/>
    </i>
  </rowItems>
  <colFields count="1">
    <field x="-2"/>
  </colFields>
  <colItems count="67">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i i="48">
      <x v="48"/>
    </i>
    <i i="49">
      <x v="49"/>
    </i>
    <i i="50">
      <x v="50"/>
    </i>
    <i i="51">
      <x v="51"/>
    </i>
    <i i="52">
      <x v="52"/>
    </i>
    <i i="53">
      <x v="53"/>
    </i>
    <i i="54">
      <x v="54"/>
    </i>
    <i i="55">
      <x v="55"/>
    </i>
    <i i="56">
      <x v="56"/>
    </i>
    <i i="57">
      <x v="57"/>
    </i>
    <i i="58">
      <x v="58"/>
    </i>
    <i i="59">
      <x v="59"/>
    </i>
    <i i="60">
      <x v="60"/>
    </i>
    <i i="61">
      <x v="61"/>
    </i>
    <i i="62">
      <x v="62"/>
    </i>
    <i i="63">
      <x v="63"/>
    </i>
    <i i="64">
      <x v="64"/>
    </i>
    <i i="65">
      <x v="65"/>
    </i>
    <i i="66">
      <x v="66"/>
    </i>
  </colItems>
  <dataFields count="67">
    <dataField name="Sum of 1949" fld="5" baseField="9" baseItem="5" numFmtId="38"/>
    <dataField name="Sum of 1950" fld="6" baseField="9" baseItem="5" numFmtId="38"/>
    <dataField name="Sum of 1951" fld="7" baseField="4" baseItem="3" numFmtId="38"/>
    <dataField name="Sum of 1952" fld="8" baseField="4" baseItem="3" numFmtId="168"/>
    <dataField name="Sum of 1953" fld="9" baseField="4" baseItem="3" numFmtId="38"/>
    <dataField name="Sum of 1954" fld="10" baseField="4" baseItem="3" numFmtId="38"/>
    <dataField name="Sum of 1955" fld="11" baseField="4" baseItem="3" numFmtId="38"/>
    <dataField name="Sum of 1956" fld="12" baseField="4" baseItem="3" numFmtId="38"/>
    <dataField name="Sum of 1957" fld="13" baseField="0" baseItem="0"/>
    <dataField name="Sum of 1958" fld="14" baseField="0" baseItem="0"/>
    <dataField name="Sum of 1959" fld="15" baseField="0" baseItem="0"/>
    <dataField name="Sum of 1960" fld="16" baseField="0" baseItem="0"/>
    <dataField name="Sum of 1961" fld="17" baseField="0" baseItem="0"/>
    <dataField name="Sum of 1962" fld="18" baseField="0" baseItem="0"/>
    <dataField name="Sum of 1963" fld="19" baseField="0" baseItem="0"/>
    <dataField name="Sum of 1964" fld="20" baseField="0" baseItem="0"/>
    <dataField name="Sum of 1965" fld="21" baseField="0" baseItem="0"/>
    <dataField name="Sum of 1966" fld="22" baseField="0" baseItem="0"/>
    <dataField name="Sum of 1967" fld="23" baseField="0" baseItem="0"/>
    <dataField name="Sum of 1968" fld="24" baseField="0" baseItem="0"/>
    <dataField name="Sum of 1969" fld="25" baseField="0" baseItem="0"/>
    <dataField name="Sum of 1970" fld="26" baseField="0" baseItem="0"/>
    <dataField name="Sum of 1971" fld="27" baseField="4" baseItem="3" numFmtId="38"/>
    <dataField name="Sum of 1972" fld="28" baseField="0" baseItem="0"/>
    <dataField name="Sum of 1973" fld="29" baseField="0" baseItem="0"/>
    <dataField name="Sum of 1974" fld="30" baseField="0" baseItem="0"/>
    <dataField name="Sum of 1975" fld="31" baseField="0" baseItem="0"/>
    <dataField name="Sum of 1976" fld="32" baseField="0" baseItem="0"/>
    <dataField name="Sum of 1977" fld="33" baseField="0" baseItem="0"/>
    <dataField name="Sum of 1978" fld="34" baseField="0" baseItem="0"/>
    <dataField name="Sum of 1979" fld="35" baseField="0" baseItem="0"/>
    <dataField name="Sum of 1980" fld="36" baseField="0" baseItem="0"/>
    <dataField name="Sum of 1981" fld="37" baseField="0" baseItem="0"/>
    <dataField name="Sum of 1982" fld="38" baseField="0" baseItem="0"/>
    <dataField name="Sum of 1983" fld="39" baseField="0" baseItem="0"/>
    <dataField name="Sum of 1984" fld="40" baseField="0" baseItem="0"/>
    <dataField name="Sum of 1985" fld="41" baseField="0" baseItem="0"/>
    <dataField name="Sum of 1986" fld="42" baseField="0" baseItem="0"/>
    <dataField name="Sum of 1987" fld="43" baseField="0" baseItem="0"/>
    <dataField name="Sum of 1988" fld="44" baseField="0" baseItem="0"/>
    <dataField name="Sum of 1989" fld="45" baseField="0" baseItem="0"/>
    <dataField name="Sum of 1990" fld="46" baseField="0" baseItem="0"/>
    <dataField name="Sum of 1991" fld="47" baseField="0" baseItem="0"/>
    <dataField name="Sum of 1992" fld="48" baseField="0" baseItem="0"/>
    <dataField name="Sum of 1993" fld="49" baseField="0" baseItem="0"/>
    <dataField name="Sum of 1994" fld="50" baseField="0" baseItem="0"/>
    <dataField name="Sum of 1995" fld="51" baseField="0" baseItem="0"/>
    <dataField name="Sum of 1996" fld="52" baseField="0" baseItem="0"/>
    <dataField name="Sum of 1997" fld="53" baseField="0" baseItem="0"/>
    <dataField name="Sum of 1998" fld="54" baseField="0" baseItem="0"/>
    <dataField name="Sum of 1999" fld="55" baseField="0" baseItem="0"/>
    <dataField name="Sum of 2000" fld="56" baseField="0" baseItem="0"/>
    <dataField name="Sum of 2001" fld="57" baseField="0" baseItem="0"/>
    <dataField name="Sum of 2002" fld="58" baseField="0" baseItem="0"/>
    <dataField name="Sum of 2003" fld="59" baseField="0" baseItem="0"/>
    <dataField name="Sum of 2004" fld="60" baseField="0" baseItem="0"/>
    <dataField name="Sum of 2005" fld="61" baseField="0" baseItem="0"/>
    <dataField name="Sum of 2006" fld="62" baseField="0" baseItem="0"/>
    <dataField name="Sum of 2007" fld="63" baseField="0" baseItem="0"/>
    <dataField name="Sum of 2008" fld="64" baseField="0" baseItem="0"/>
    <dataField name="Sum of 2009" fld="65" baseField="0" baseItem="0"/>
    <dataField name="Sum of 2010" fld="66" baseField="0" baseItem="0"/>
    <dataField name="Sum of 2011" fld="67" baseField="4" baseItem="3" numFmtId="38"/>
    <dataField name="Sum of 2012" fld="68" baseField="0" baseItem="0"/>
    <dataField name="Sum of 2013" fld="69" baseField="0" baseItem="0"/>
    <dataField name="Sum of 2014" fld="70" baseField="0" baseItem="0" numFmtId="38"/>
    <dataField name="Sum of 2015" fld="71" baseField="71" baseItem="4" numFmtId="38"/>
  </dataFields>
  <formats count="16">
    <format dxfId="23">
      <pivotArea type="all" dataOnly="0" outline="0" fieldPosition="0"/>
    </format>
    <format dxfId="22">
      <pivotArea outline="0" collapsedLevelsAreSubtotals="1" fieldPosition="0"/>
    </format>
    <format dxfId="21">
      <pivotArea dataOnly="0" labelOnly="1" outline="0" axis="axisValues" fieldPosition="0"/>
    </format>
    <format dxfId="20">
      <pivotArea dataOnly="0" labelOnly="1" outline="0" fieldPosition="0">
        <references count="1">
          <reference field="0" count="0"/>
        </references>
      </pivotArea>
    </format>
    <format dxfId="19">
      <pivotArea dataOnly="0" labelOnly="1" outline="0" fieldPosition="0">
        <references count="1">
          <reference field="0" count="0" defaultSubtotal="1"/>
        </references>
      </pivotArea>
    </format>
    <format dxfId="18">
      <pivotArea dataOnly="0" labelOnly="1" grandRow="1" outline="0" fieldPosition="0"/>
    </format>
    <format dxfId="17">
      <pivotArea dataOnly="0" labelOnly="1" outline="0" fieldPosition="0">
        <references count="2">
          <reference field="0" count="1" selected="0">
            <x v="0"/>
          </reference>
          <reference field="2" count="2">
            <x v="0"/>
            <x v="3"/>
          </reference>
        </references>
      </pivotArea>
    </format>
    <format dxfId="16">
      <pivotArea dataOnly="0" labelOnly="1" outline="0" fieldPosition="0">
        <references count="2">
          <reference field="0" count="1" selected="0">
            <x v="1"/>
          </reference>
          <reference field="2" count="1">
            <x v="2"/>
          </reference>
        </references>
      </pivotArea>
    </format>
    <format dxfId="15">
      <pivotArea dataOnly="0" labelOnly="1" outline="0" fieldPosition="0">
        <references count="2">
          <reference field="0" count="1" selected="0">
            <x v="2"/>
          </reference>
          <reference field="2" count="2">
            <x v="3"/>
            <x v="8"/>
          </reference>
        </references>
      </pivotArea>
    </format>
    <format dxfId="14">
      <pivotArea dataOnly="0" labelOnly="1" outline="0" fieldPosition="0">
        <references count="3">
          <reference field="0" count="1" selected="0">
            <x v="0"/>
          </reference>
          <reference field="2" count="1" selected="0">
            <x v="0"/>
          </reference>
          <reference field="4" count="1">
            <x v="3"/>
          </reference>
        </references>
      </pivotArea>
    </format>
    <format dxfId="13">
      <pivotArea dataOnly="0" labelOnly="1" outline="0" fieldPosition="0">
        <references count="3">
          <reference field="0" count="1" selected="0">
            <x v="0"/>
          </reference>
          <reference field="2" count="1" selected="0">
            <x v="3"/>
          </reference>
          <reference field="4" count="1">
            <x v="4"/>
          </reference>
        </references>
      </pivotArea>
    </format>
    <format dxfId="12">
      <pivotArea dataOnly="0" labelOnly="1" outline="0" fieldPosition="0">
        <references count="3">
          <reference field="0" count="1" selected="0">
            <x v="1"/>
          </reference>
          <reference field="2" count="1" selected="0">
            <x v="2"/>
          </reference>
          <reference field="4" count="1">
            <x v="5"/>
          </reference>
        </references>
      </pivotArea>
    </format>
    <format dxfId="11">
      <pivotArea dataOnly="0" labelOnly="1" outline="0" fieldPosition="0">
        <references count="3">
          <reference field="0" count="1" selected="0">
            <x v="2"/>
          </reference>
          <reference field="2" count="1" selected="0">
            <x v="3"/>
          </reference>
          <reference field="4" count="2">
            <x v="30"/>
            <x v="32"/>
          </reference>
        </references>
      </pivotArea>
    </format>
    <format dxfId="10">
      <pivotArea dataOnly="0" labelOnly="1" outline="0" fieldPosition="0">
        <references count="3">
          <reference field="0" count="1" selected="0">
            <x v="2"/>
          </reference>
          <reference field="2" count="1" selected="0">
            <x v="8"/>
          </reference>
          <reference field="4" count="1">
            <x v="25"/>
          </reference>
        </references>
      </pivotArea>
    </format>
    <format dxfId="9">
      <pivotArea dataOnly="0" outline="0" fieldPosition="0">
        <references count="1">
          <reference field="4294967294" count="66">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reference>
        </references>
      </pivotArea>
    </format>
    <format dxfId="8">
      <pivotArea outline="0" fieldPosition="0">
        <references count="1">
          <reference field="4294967294" count="1">
            <x v="66"/>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tabSelected="1" workbookViewId="0">
      <selection activeCell="C4" sqref="C4"/>
    </sheetView>
  </sheetViews>
  <sheetFormatPr defaultRowHeight="13.2" x14ac:dyDescent="0.25"/>
  <cols>
    <col min="1" max="1" width="2.5546875" style="626" customWidth="1"/>
    <col min="2" max="2" width="23.21875" style="691" customWidth="1"/>
    <col min="3" max="3" width="43.6640625" style="691" customWidth="1"/>
    <col min="4" max="4" width="44.77734375" style="693" customWidth="1"/>
    <col min="5" max="5" width="7.21875" style="626" customWidth="1"/>
    <col min="6" max="6" width="7.6640625" style="626" customWidth="1"/>
    <col min="7" max="16384" width="8.88671875" style="626"/>
  </cols>
  <sheetData>
    <row r="1" spans="1:8" ht="71.400000000000006" customHeight="1" x14ac:dyDescent="0.2">
      <c r="A1" s="697"/>
      <c r="B1" s="858" t="s">
        <v>533</v>
      </c>
      <c r="C1" s="858"/>
      <c r="D1" s="858"/>
      <c r="E1" s="859" t="s">
        <v>525</v>
      </c>
      <c r="F1" s="859"/>
      <c r="G1" s="859"/>
      <c r="H1" s="697"/>
    </row>
    <row r="2" spans="1:8" x14ac:dyDescent="0.25">
      <c r="A2" s="697"/>
      <c r="B2" s="698"/>
      <c r="C2" s="698"/>
      <c r="D2" s="699"/>
      <c r="E2" s="857" t="s">
        <v>446</v>
      </c>
      <c r="F2" s="857"/>
      <c r="G2" s="857"/>
      <c r="H2" s="697"/>
    </row>
    <row r="3" spans="1:8" x14ac:dyDescent="0.25">
      <c r="A3" s="697"/>
      <c r="B3" s="700" t="s">
        <v>444</v>
      </c>
      <c r="C3" s="700" t="s">
        <v>445</v>
      </c>
      <c r="D3" s="701" t="s">
        <v>443</v>
      </c>
      <c r="E3" s="702">
        <v>2015</v>
      </c>
      <c r="F3" s="702">
        <v>2016</v>
      </c>
      <c r="G3" s="702">
        <v>2017</v>
      </c>
      <c r="H3" s="697"/>
    </row>
    <row r="4" spans="1:8" ht="48" customHeight="1" x14ac:dyDescent="0.25">
      <c r="A4" s="697"/>
      <c r="B4" s="856" t="s">
        <v>478</v>
      </c>
      <c r="C4" s="692" t="s">
        <v>477</v>
      </c>
      <c r="D4" s="694" t="s">
        <v>497</v>
      </c>
      <c r="E4" s="758" t="s">
        <v>523</v>
      </c>
      <c r="F4" s="758"/>
      <c r="G4" s="758"/>
      <c r="H4" s="697"/>
    </row>
    <row r="5" spans="1:8" ht="48" customHeight="1" x14ac:dyDescent="0.25">
      <c r="A5" s="697"/>
      <c r="B5" s="848" t="s">
        <v>479</v>
      </c>
      <c r="C5" s="692" t="s">
        <v>480</v>
      </c>
      <c r="D5" s="695" t="s">
        <v>481</v>
      </c>
      <c r="E5" s="758" t="s">
        <v>523</v>
      </c>
      <c r="F5" s="758"/>
      <c r="G5" s="758"/>
      <c r="H5" s="697"/>
    </row>
    <row r="6" spans="1:8" ht="48" customHeight="1" x14ac:dyDescent="0.25">
      <c r="A6" s="697"/>
      <c r="B6" s="848" t="s">
        <v>482</v>
      </c>
      <c r="C6" s="692" t="s">
        <v>483</v>
      </c>
      <c r="D6" s="695" t="s">
        <v>472</v>
      </c>
      <c r="E6" s="758" t="s">
        <v>523</v>
      </c>
      <c r="F6" s="758"/>
      <c r="G6" s="758"/>
      <c r="H6" s="697"/>
    </row>
    <row r="7" spans="1:8" ht="48" customHeight="1" x14ac:dyDescent="0.25">
      <c r="A7" s="697"/>
      <c r="B7" s="696" t="s">
        <v>484</v>
      </c>
      <c r="C7" s="692" t="s">
        <v>487</v>
      </c>
      <c r="D7" s="695" t="s">
        <v>471</v>
      </c>
      <c r="E7" s="758" t="s">
        <v>523</v>
      </c>
      <c r="F7" s="758"/>
      <c r="G7" s="758"/>
      <c r="H7" s="697"/>
    </row>
    <row r="8" spans="1:8" ht="48" customHeight="1" x14ac:dyDescent="0.25">
      <c r="A8" s="697"/>
      <c r="B8" s="696" t="s">
        <v>485</v>
      </c>
      <c r="C8" s="692" t="s">
        <v>486</v>
      </c>
      <c r="D8" s="695" t="s">
        <v>471</v>
      </c>
      <c r="E8" s="758" t="s">
        <v>523</v>
      </c>
      <c r="F8" s="758"/>
      <c r="G8" s="758"/>
      <c r="H8" s="697"/>
    </row>
    <row r="9" spans="1:8" ht="48" customHeight="1" x14ac:dyDescent="0.25">
      <c r="A9" s="697"/>
      <c r="B9" s="848" t="s">
        <v>488</v>
      </c>
      <c r="C9" s="692" t="s">
        <v>489</v>
      </c>
      <c r="D9" s="695" t="s">
        <v>492</v>
      </c>
      <c r="E9" s="758" t="s">
        <v>523</v>
      </c>
      <c r="F9" s="758"/>
      <c r="G9" s="758"/>
      <c r="H9" s="697"/>
    </row>
    <row r="10" spans="1:8" ht="48" customHeight="1" x14ac:dyDescent="0.25">
      <c r="A10" s="697"/>
      <c r="B10" s="848" t="s">
        <v>490</v>
      </c>
      <c r="C10" s="692" t="s">
        <v>491</v>
      </c>
      <c r="D10" s="695" t="s">
        <v>499</v>
      </c>
      <c r="E10" s="758" t="s">
        <v>523</v>
      </c>
      <c r="F10" s="758"/>
      <c r="G10" s="758"/>
      <c r="H10" s="697"/>
    </row>
    <row r="11" spans="1:8" ht="69" customHeight="1" x14ac:dyDescent="0.25">
      <c r="A11" s="697"/>
      <c r="B11" s="848" t="s">
        <v>494</v>
      </c>
      <c r="C11" s="692" t="s">
        <v>493</v>
      </c>
      <c r="D11" s="694" t="s">
        <v>498</v>
      </c>
      <c r="E11" s="758" t="s">
        <v>523</v>
      </c>
      <c r="F11" s="758"/>
      <c r="G11" s="758"/>
      <c r="H11" s="697"/>
    </row>
    <row r="12" spans="1:8" ht="57" x14ac:dyDescent="0.25">
      <c r="A12" s="697"/>
      <c r="B12" s="856" t="s">
        <v>505</v>
      </c>
      <c r="C12" s="692" t="s">
        <v>495</v>
      </c>
      <c r="D12" s="695" t="s">
        <v>496</v>
      </c>
      <c r="E12" s="758" t="s">
        <v>523</v>
      </c>
      <c r="F12" s="758"/>
      <c r="G12" s="758"/>
      <c r="H12" s="697"/>
    </row>
    <row r="13" spans="1:8" ht="48" customHeight="1" x14ac:dyDescent="0.25">
      <c r="A13" s="697"/>
      <c r="B13" s="848" t="s">
        <v>506</v>
      </c>
      <c r="C13" s="692" t="s">
        <v>500</v>
      </c>
      <c r="D13" s="695" t="s">
        <v>473</v>
      </c>
      <c r="E13" s="758" t="s">
        <v>523</v>
      </c>
      <c r="F13" s="758"/>
      <c r="G13" s="758"/>
      <c r="H13" s="697"/>
    </row>
    <row r="14" spans="1:8" ht="48" customHeight="1" x14ac:dyDescent="0.25">
      <c r="A14" s="697"/>
      <c r="B14" s="696" t="s">
        <v>507</v>
      </c>
      <c r="C14" s="692" t="s">
        <v>501</v>
      </c>
      <c r="D14" s="695" t="s">
        <v>471</v>
      </c>
      <c r="E14" s="758" t="s">
        <v>523</v>
      </c>
      <c r="F14" s="758"/>
      <c r="G14" s="758"/>
      <c r="H14" s="697"/>
    </row>
    <row r="15" spans="1:8" ht="48" customHeight="1" x14ac:dyDescent="0.25">
      <c r="A15" s="697"/>
      <c r="B15" s="696" t="s">
        <v>508</v>
      </c>
      <c r="C15" s="692" t="s">
        <v>502</v>
      </c>
      <c r="D15" s="695" t="s">
        <v>471</v>
      </c>
      <c r="E15" s="758" t="s">
        <v>523</v>
      </c>
      <c r="F15" s="758"/>
      <c r="G15" s="758"/>
      <c r="H15" s="697"/>
    </row>
    <row r="16" spans="1:8" ht="48" customHeight="1" x14ac:dyDescent="0.25">
      <c r="A16" s="697"/>
      <c r="B16" s="856" t="s">
        <v>509</v>
      </c>
      <c r="C16" s="692" t="s">
        <v>510</v>
      </c>
      <c r="D16" s="695" t="s">
        <v>504</v>
      </c>
      <c r="E16" s="758" t="s">
        <v>523</v>
      </c>
      <c r="F16" s="758"/>
      <c r="G16" s="758"/>
      <c r="H16" s="697"/>
    </row>
    <row r="17" spans="1:8" ht="48" customHeight="1" x14ac:dyDescent="0.25">
      <c r="A17" s="697"/>
      <c r="B17" s="696" t="s">
        <v>514</v>
      </c>
      <c r="C17" s="692" t="s">
        <v>511</v>
      </c>
      <c r="D17" s="695" t="s">
        <v>471</v>
      </c>
      <c r="E17" s="758" t="s">
        <v>523</v>
      </c>
      <c r="F17" s="758"/>
      <c r="G17" s="758"/>
      <c r="H17" s="697"/>
    </row>
    <row r="18" spans="1:8" ht="48" customHeight="1" x14ac:dyDescent="0.25">
      <c r="A18" s="697"/>
      <c r="B18" s="848" t="s">
        <v>515</v>
      </c>
      <c r="C18" s="692" t="s">
        <v>512</v>
      </c>
      <c r="D18" s="695" t="s">
        <v>473</v>
      </c>
      <c r="E18" s="758" t="s">
        <v>523</v>
      </c>
      <c r="F18" s="758"/>
      <c r="G18" s="758"/>
      <c r="H18" s="697"/>
    </row>
    <row r="19" spans="1:8" ht="48" customHeight="1" x14ac:dyDescent="0.25">
      <c r="A19" s="697"/>
      <c r="B19" s="856" t="s">
        <v>516</v>
      </c>
      <c r="C19" s="692" t="s">
        <v>517</v>
      </c>
      <c r="D19" s="695" t="s">
        <v>470</v>
      </c>
      <c r="E19" s="758" t="s">
        <v>523</v>
      </c>
      <c r="F19" s="758"/>
      <c r="G19" s="758"/>
      <c r="H19" s="697"/>
    </row>
    <row r="20" spans="1:8" ht="48" customHeight="1" x14ac:dyDescent="0.25">
      <c r="A20" s="697"/>
      <c r="B20" s="692" t="s">
        <v>467</v>
      </c>
      <c r="C20" s="692" t="s">
        <v>518</v>
      </c>
      <c r="D20" s="695"/>
      <c r="E20" s="771"/>
      <c r="F20" s="758"/>
      <c r="G20" s="758"/>
      <c r="H20" s="697"/>
    </row>
    <row r="21" spans="1:8" ht="48" customHeight="1" x14ac:dyDescent="0.25">
      <c r="A21" s="697"/>
      <c r="B21" s="849" t="s">
        <v>468</v>
      </c>
      <c r="C21" s="692" t="s">
        <v>503</v>
      </c>
      <c r="D21" s="695"/>
      <c r="E21" s="760" t="s">
        <v>524</v>
      </c>
      <c r="F21" s="759"/>
      <c r="G21" s="759"/>
      <c r="H21" s="697"/>
    </row>
    <row r="22" spans="1:8" x14ac:dyDescent="0.25">
      <c r="A22" s="697"/>
      <c r="B22" s="698"/>
      <c r="C22" s="698"/>
      <c r="D22" s="699"/>
      <c r="E22" s="697"/>
      <c r="F22" s="697"/>
      <c r="G22" s="697"/>
      <c r="H22" s="697"/>
    </row>
    <row r="23" spans="1:8" x14ac:dyDescent="0.25">
      <c r="A23" s="697"/>
      <c r="B23" s="698"/>
      <c r="C23" s="698"/>
      <c r="D23" s="699"/>
      <c r="E23" s="697"/>
      <c r="F23" s="697"/>
      <c r="G23" s="697"/>
    </row>
  </sheetData>
  <mergeCells count="3">
    <mergeCell ref="E2:G2"/>
    <mergeCell ref="B1:D1"/>
    <mergeCell ref="E1:G1"/>
  </mergeCells>
  <hyperlinks>
    <hyperlink ref="B4" location="'TAB1.0 Accomplshmnt by District'!A1" display="TAB1.0_Accomplishment by District"/>
    <hyperlink ref="B5" location="'1.1_Annual Harv by FUND'!A1" display="1.1_Annual Harv by FUND"/>
    <hyperlink ref="B6" location="'1.2 Pivots &amp; Graphs'!A1" display="1.2_Pivots &amp; Graphs"/>
    <hyperlink ref="B9" location="'1.5_CSL_VolVal'!A1" display="1.5_CSL_VolVal"/>
    <hyperlink ref="B11" location="'1.7_District Pivots'!A1" display="1.7_District Pivot"/>
    <hyperlink ref="B10" location="'1.6_CSL Elliott VolVal_Charts'!A1" display="1.6_CSL Elliott VolVal Chart"/>
    <hyperlink ref="B12" location="'TAB2.0 Accomplishment Graphs'!A1" display="TAB2.0_Accomplishment Graphs"/>
    <hyperlink ref="B13" location="'2.1 PIVOT'!A1" display="2.1_PIVOT"/>
    <hyperlink ref="B16" location="'TAB3.0 VOL Historical by County'!A1" display="TAB3.0 VOL Historical by County"/>
    <hyperlink ref="B18" location="'3.2_STATE FOREST HARV Piv Tbl'!A1" display="3.2_STATE FOREST HARV Piv Tbl"/>
    <hyperlink ref="B19" location="'TAB4.0 VolVal Hist_ByCounty'!A1" display="TAB4.0 VolVal Historical_ByCounty"/>
    <hyperlink ref="B21" location="TRAS_Codes!A1" display="TRAS Codes"/>
  </hyperlinks>
  <pageMargins left="0.7" right="0.17" top="0.75" bottom="0.75" header="0.24" footer="0.3"/>
  <pageSetup scale="7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BX1180"/>
  <sheetViews>
    <sheetView showGridLines="0" workbookViewId="0">
      <selection activeCell="F1" sqref="F1"/>
    </sheetView>
  </sheetViews>
  <sheetFormatPr defaultColWidth="9.109375" defaultRowHeight="13.2" outlineLevelCol="1" x14ac:dyDescent="0.25"/>
  <cols>
    <col min="1" max="1" width="8.77734375" style="1" customWidth="1" outlineLevel="1"/>
    <col min="2" max="2" width="6.21875" style="1" customWidth="1" outlineLevel="1"/>
    <col min="3" max="3" width="10.88671875" style="1" customWidth="1" outlineLevel="1"/>
    <col min="4" max="4" width="9.33203125" style="30" customWidth="1" outlineLevel="1"/>
    <col min="5" max="5" width="6" style="7" customWidth="1" outlineLevel="1"/>
    <col min="6" max="6" width="14.5546875" style="2" customWidth="1"/>
    <col min="7" max="8" width="8.6640625" style="1" customWidth="1" outlineLevel="1"/>
    <col min="9" max="9" width="11.44140625" style="1" customWidth="1" outlineLevel="1"/>
    <col min="10" max="29" width="8.6640625" style="1" customWidth="1" outlineLevel="1"/>
    <col min="30" max="30" width="8.6640625" style="5" customWidth="1" outlineLevel="1"/>
    <col min="31" max="48" width="8.6640625" style="1" customWidth="1" outlineLevel="1"/>
    <col min="49" max="49" width="7.5546875" style="1" customWidth="1" outlineLevel="1"/>
    <col min="50" max="62" width="8.6640625" style="1" customWidth="1" outlineLevel="1"/>
    <col min="63" max="68" width="8.6640625" style="1" customWidth="1"/>
    <col min="69" max="71" width="10.88671875" style="1" bestFit="1" customWidth="1"/>
    <col min="72" max="74" width="10.88671875" style="1" customWidth="1"/>
    <col min="75" max="75" width="16.6640625" style="90" customWidth="1"/>
    <col min="76" max="76" width="13.6640625" style="1" customWidth="1"/>
    <col min="77" max="16384" width="9.109375" style="1"/>
  </cols>
  <sheetData>
    <row r="1" spans="1:75" s="52" customFormat="1" ht="30.6" customHeight="1" thickBot="1" x14ac:dyDescent="0.3">
      <c r="A1" s="912" t="s">
        <v>442</v>
      </c>
      <c r="B1" s="912"/>
      <c r="C1" s="912"/>
      <c r="D1" s="912"/>
      <c r="E1" s="912"/>
      <c r="F1" s="854" t="s">
        <v>532</v>
      </c>
      <c r="G1" s="145">
        <f>SUBTOTAL(9,G3:G35)</f>
        <v>782951</v>
      </c>
      <c r="H1" s="145">
        <f t="shared" ref="H1:BV1" si="0">SUBTOTAL(9,H3:H35)</f>
        <v>830712</v>
      </c>
      <c r="I1" s="145">
        <f t="shared" si="0"/>
        <v>724484</v>
      </c>
      <c r="J1" s="145">
        <f t="shared" si="0"/>
        <v>608571</v>
      </c>
      <c r="K1" s="145">
        <f t="shared" si="0"/>
        <v>534142</v>
      </c>
      <c r="L1" s="145">
        <f t="shared" si="0"/>
        <v>472542</v>
      </c>
      <c r="M1" s="145">
        <f t="shared" si="0"/>
        <v>443430</v>
      </c>
      <c r="N1" s="145">
        <f t="shared" si="0"/>
        <v>354438</v>
      </c>
      <c r="O1" s="145">
        <f t="shared" si="0"/>
        <v>302167</v>
      </c>
      <c r="P1" s="145">
        <f t="shared" si="0"/>
        <v>118727</v>
      </c>
      <c r="Q1" s="145">
        <f t="shared" si="0"/>
        <v>137761</v>
      </c>
      <c r="R1" s="145">
        <f t="shared" si="0"/>
        <v>174459</v>
      </c>
      <c r="S1" s="145">
        <f t="shared" si="0"/>
        <v>181558</v>
      </c>
      <c r="T1" s="145">
        <f t="shared" si="0"/>
        <v>157800</v>
      </c>
      <c r="U1" s="145">
        <f t="shared" si="0"/>
        <v>189318</v>
      </c>
      <c r="V1" s="145">
        <f t="shared" si="0"/>
        <v>229431</v>
      </c>
      <c r="W1" s="145">
        <f t="shared" si="0"/>
        <v>226959</v>
      </c>
      <c r="X1" s="145">
        <f t="shared" si="0"/>
        <v>185269</v>
      </c>
      <c r="Y1" s="145">
        <f t="shared" si="0"/>
        <v>123449</v>
      </c>
      <c r="Z1" s="145">
        <f t="shared" si="0"/>
        <v>170814.26</v>
      </c>
      <c r="AA1" s="145">
        <f t="shared" si="0"/>
        <v>189292.28000000006</v>
      </c>
      <c r="AB1" s="145">
        <f t="shared" si="0"/>
        <v>172412.94</v>
      </c>
      <c r="AC1" s="145">
        <f t="shared" si="0"/>
        <v>149007.36000000002</v>
      </c>
      <c r="AD1" s="145">
        <f t="shared" si="0"/>
        <v>250616</v>
      </c>
      <c r="AE1" s="145">
        <f t="shared" si="0"/>
        <v>285890</v>
      </c>
      <c r="AF1" s="145">
        <f t="shared" si="0"/>
        <v>225275</v>
      </c>
      <c r="AG1" s="145">
        <f t="shared" si="0"/>
        <v>159865.37000000005</v>
      </c>
      <c r="AH1" s="145">
        <f t="shared" si="0"/>
        <v>203440.01000000004</v>
      </c>
      <c r="AI1" s="145">
        <f t="shared" si="0"/>
        <v>227916.62999999998</v>
      </c>
      <c r="AJ1" s="145">
        <f t="shared" si="0"/>
        <v>234667.92999999993</v>
      </c>
      <c r="AK1" s="145">
        <f t="shared" si="0"/>
        <v>223430.63</v>
      </c>
      <c r="AL1" s="145">
        <f t="shared" si="0"/>
        <v>185699.63</v>
      </c>
      <c r="AM1" s="145">
        <f t="shared" si="0"/>
        <v>215842.97</v>
      </c>
      <c r="AN1" s="145">
        <f t="shared" si="0"/>
        <v>164016.80999999997</v>
      </c>
      <c r="AO1" s="145">
        <f t="shared" si="0"/>
        <v>226487.149</v>
      </c>
      <c r="AP1" s="145">
        <f t="shared" si="0"/>
        <v>249131</v>
      </c>
      <c r="AQ1" s="145">
        <f t="shared" si="0"/>
        <v>268024</v>
      </c>
      <c r="AR1" s="145">
        <f t="shared" si="0"/>
        <v>221380</v>
      </c>
      <c r="AS1" s="145">
        <f t="shared" si="0"/>
        <v>195994</v>
      </c>
      <c r="AT1" s="145">
        <f t="shared" si="0"/>
        <v>229975</v>
      </c>
      <c r="AU1" s="145">
        <f t="shared" si="0"/>
        <v>182265</v>
      </c>
      <c r="AV1" s="145">
        <f t="shared" si="0"/>
        <v>135189</v>
      </c>
      <c r="AW1" s="145">
        <f t="shared" si="0"/>
        <v>90692</v>
      </c>
      <c r="AX1" s="145">
        <f t="shared" si="0"/>
        <v>135195</v>
      </c>
      <c r="AY1" s="145">
        <f t="shared" si="0"/>
        <v>113723</v>
      </c>
      <c r="AZ1" s="145">
        <f t="shared" si="0"/>
        <v>114150.56</v>
      </c>
      <c r="BA1" s="145">
        <f t="shared" si="0"/>
        <v>116334</v>
      </c>
      <c r="BB1" s="145">
        <f t="shared" si="0"/>
        <v>110038</v>
      </c>
      <c r="BC1" s="145">
        <f t="shared" si="0"/>
        <v>164203.12999999998</v>
      </c>
      <c r="BD1" s="145">
        <f t="shared" si="0"/>
        <v>128409.91</v>
      </c>
      <c r="BE1" s="145">
        <f t="shared" si="0"/>
        <v>207891.91999999998</v>
      </c>
      <c r="BF1" s="145">
        <f t="shared" si="0"/>
        <v>263879.45999999996</v>
      </c>
      <c r="BG1" s="145">
        <f t="shared" si="0"/>
        <v>228695.56000000003</v>
      </c>
      <c r="BH1" s="145">
        <f t="shared" si="0"/>
        <v>257882</v>
      </c>
      <c r="BI1" s="145">
        <f t="shared" si="0"/>
        <v>277822.16999999993</v>
      </c>
      <c r="BJ1" s="145">
        <f t="shared" si="0"/>
        <v>271809.19</v>
      </c>
      <c r="BK1" s="145">
        <f t="shared" si="0"/>
        <v>323761.36</v>
      </c>
      <c r="BL1" s="145">
        <f t="shared" si="0"/>
        <v>294741.21999999997</v>
      </c>
      <c r="BM1" s="145">
        <f t="shared" si="0"/>
        <v>271481.783</v>
      </c>
      <c r="BN1" s="145">
        <f t="shared" si="0"/>
        <v>259552.26</v>
      </c>
      <c r="BO1" s="145">
        <f t="shared" si="0"/>
        <v>266198</v>
      </c>
      <c r="BP1" s="145">
        <f t="shared" si="0"/>
        <v>292953.81000000006</v>
      </c>
      <c r="BQ1" s="145">
        <f t="shared" si="0"/>
        <v>271674</v>
      </c>
      <c r="BR1" s="145">
        <f t="shared" si="0"/>
        <v>262941.45</v>
      </c>
      <c r="BS1" s="145">
        <f>SUBTOTAL(9,BS3:BS35)</f>
        <v>240564.01</v>
      </c>
      <c r="BT1" s="145">
        <f t="shared" si="0"/>
        <v>231822.12</v>
      </c>
      <c r="BU1" s="145">
        <f t="shared" si="0"/>
        <v>274174.56</v>
      </c>
      <c r="BV1" s="145">
        <f t="shared" si="0"/>
        <v>0</v>
      </c>
      <c r="BW1" s="104"/>
    </row>
    <row r="2" spans="1:75" s="38" customFormat="1" ht="32.25" customHeight="1" thickBot="1" x14ac:dyDescent="0.3">
      <c r="A2" s="72" t="s">
        <v>193</v>
      </c>
      <c r="B2" s="71" t="s">
        <v>139</v>
      </c>
      <c r="C2" s="124" t="s">
        <v>142</v>
      </c>
      <c r="D2" s="69" t="s">
        <v>74</v>
      </c>
      <c r="E2" s="70" t="s">
        <v>73</v>
      </c>
      <c r="F2" s="124" t="s">
        <v>72</v>
      </c>
      <c r="G2" s="159">
        <v>1949</v>
      </c>
      <c r="H2" s="160">
        <f>+G2+1</f>
        <v>1950</v>
      </c>
      <c r="I2" s="160">
        <f t="shared" ref="I2:BN2" si="1">+H2+1</f>
        <v>1951</v>
      </c>
      <c r="J2" s="160">
        <f t="shared" si="1"/>
        <v>1952</v>
      </c>
      <c r="K2" s="160">
        <f t="shared" si="1"/>
        <v>1953</v>
      </c>
      <c r="L2" s="160">
        <f t="shared" si="1"/>
        <v>1954</v>
      </c>
      <c r="M2" s="160">
        <f t="shared" si="1"/>
        <v>1955</v>
      </c>
      <c r="N2" s="160">
        <f t="shared" si="1"/>
        <v>1956</v>
      </c>
      <c r="O2" s="160">
        <f t="shared" si="1"/>
        <v>1957</v>
      </c>
      <c r="P2" s="160">
        <f t="shared" si="1"/>
        <v>1958</v>
      </c>
      <c r="Q2" s="160">
        <f t="shared" si="1"/>
        <v>1959</v>
      </c>
      <c r="R2" s="160">
        <f t="shared" si="1"/>
        <v>1960</v>
      </c>
      <c r="S2" s="160">
        <f t="shared" si="1"/>
        <v>1961</v>
      </c>
      <c r="T2" s="160">
        <f t="shared" si="1"/>
        <v>1962</v>
      </c>
      <c r="U2" s="160">
        <f t="shared" si="1"/>
        <v>1963</v>
      </c>
      <c r="V2" s="160">
        <f t="shared" si="1"/>
        <v>1964</v>
      </c>
      <c r="W2" s="160">
        <f t="shared" si="1"/>
        <v>1965</v>
      </c>
      <c r="X2" s="160">
        <f t="shared" si="1"/>
        <v>1966</v>
      </c>
      <c r="Y2" s="160">
        <f t="shared" si="1"/>
        <v>1967</v>
      </c>
      <c r="Z2" s="160">
        <f t="shared" si="1"/>
        <v>1968</v>
      </c>
      <c r="AA2" s="160">
        <f t="shared" si="1"/>
        <v>1969</v>
      </c>
      <c r="AB2" s="160">
        <f t="shared" si="1"/>
        <v>1970</v>
      </c>
      <c r="AC2" s="160">
        <f t="shared" si="1"/>
        <v>1971</v>
      </c>
      <c r="AD2" s="161">
        <f t="shared" si="1"/>
        <v>1972</v>
      </c>
      <c r="AE2" s="160">
        <f t="shared" si="1"/>
        <v>1973</v>
      </c>
      <c r="AF2" s="160">
        <f t="shared" si="1"/>
        <v>1974</v>
      </c>
      <c r="AG2" s="160">
        <f t="shared" si="1"/>
        <v>1975</v>
      </c>
      <c r="AH2" s="160">
        <f t="shared" si="1"/>
        <v>1976</v>
      </c>
      <c r="AI2" s="160">
        <f t="shared" si="1"/>
        <v>1977</v>
      </c>
      <c r="AJ2" s="160">
        <f t="shared" si="1"/>
        <v>1978</v>
      </c>
      <c r="AK2" s="160">
        <f t="shared" si="1"/>
        <v>1979</v>
      </c>
      <c r="AL2" s="160">
        <f t="shared" si="1"/>
        <v>1980</v>
      </c>
      <c r="AM2" s="160">
        <f t="shared" si="1"/>
        <v>1981</v>
      </c>
      <c r="AN2" s="160">
        <f t="shared" si="1"/>
        <v>1982</v>
      </c>
      <c r="AO2" s="160">
        <f t="shared" si="1"/>
        <v>1983</v>
      </c>
      <c r="AP2" s="160">
        <f t="shared" si="1"/>
        <v>1984</v>
      </c>
      <c r="AQ2" s="160">
        <f t="shared" si="1"/>
        <v>1985</v>
      </c>
      <c r="AR2" s="160">
        <f t="shared" si="1"/>
        <v>1986</v>
      </c>
      <c r="AS2" s="160">
        <f t="shared" si="1"/>
        <v>1987</v>
      </c>
      <c r="AT2" s="160">
        <f t="shared" si="1"/>
        <v>1988</v>
      </c>
      <c r="AU2" s="160">
        <f t="shared" si="1"/>
        <v>1989</v>
      </c>
      <c r="AV2" s="160">
        <f t="shared" si="1"/>
        <v>1990</v>
      </c>
      <c r="AW2" s="160">
        <f t="shared" si="1"/>
        <v>1991</v>
      </c>
      <c r="AX2" s="160">
        <f t="shared" si="1"/>
        <v>1992</v>
      </c>
      <c r="AY2" s="160">
        <f t="shared" si="1"/>
        <v>1993</v>
      </c>
      <c r="AZ2" s="160">
        <f t="shared" si="1"/>
        <v>1994</v>
      </c>
      <c r="BA2" s="160">
        <f t="shared" si="1"/>
        <v>1995</v>
      </c>
      <c r="BB2" s="160">
        <f t="shared" si="1"/>
        <v>1996</v>
      </c>
      <c r="BC2" s="160">
        <f t="shared" si="1"/>
        <v>1997</v>
      </c>
      <c r="BD2" s="160">
        <f t="shared" si="1"/>
        <v>1998</v>
      </c>
      <c r="BE2" s="160">
        <f t="shared" si="1"/>
        <v>1999</v>
      </c>
      <c r="BF2" s="160">
        <f t="shared" si="1"/>
        <v>2000</v>
      </c>
      <c r="BG2" s="160">
        <f t="shared" si="1"/>
        <v>2001</v>
      </c>
      <c r="BH2" s="160">
        <f t="shared" si="1"/>
        <v>2002</v>
      </c>
      <c r="BI2" s="160">
        <f t="shared" si="1"/>
        <v>2003</v>
      </c>
      <c r="BJ2" s="160">
        <f t="shared" si="1"/>
        <v>2004</v>
      </c>
      <c r="BK2" s="160">
        <f t="shared" si="1"/>
        <v>2005</v>
      </c>
      <c r="BL2" s="160">
        <f t="shared" si="1"/>
        <v>2006</v>
      </c>
      <c r="BM2" s="160">
        <f t="shared" si="1"/>
        <v>2007</v>
      </c>
      <c r="BN2" s="160">
        <f t="shared" si="1"/>
        <v>2008</v>
      </c>
      <c r="BO2" s="160">
        <f>+BN2+1</f>
        <v>2009</v>
      </c>
      <c r="BP2" s="160">
        <f>+BO2+1</f>
        <v>2010</v>
      </c>
      <c r="BQ2" s="160">
        <f>+BP2+1</f>
        <v>2011</v>
      </c>
      <c r="BR2" s="160">
        <v>2012</v>
      </c>
      <c r="BS2" s="161">
        <v>2013</v>
      </c>
      <c r="BT2" s="162">
        <v>2014</v>
      </c>
      <c r="BU2" s="162">
        <v>2015</v>
      </c>
      <c r="BV2" s="162">
        <v>2016</v>
      </c>
      <c r="BW2" s="158" t="s">
        <v>277</v>
      </c>
    </row>
    <row r="3" spans="1:75" s="2" customFormat="1" ht="14.4" customHeight="1" x14ac:dyDescent="0.25">
      <c r="A3" s="73">
        <f>SUBTOTAL(9,G3:BV3)</f>
        <v>86</v>
      </c>
      <c r="B3" s="94"/>
      <c r="C3" s="95" t="s">
        <v>175</v>
      </c>
      <c r="D3" s="95" t="s">
        <v>173</v>
      </c>
      <c r="E3" s="96" t="s">
        <v>146</v>
      </c>
      <c r="F3" s="125" t="s">
        <v>145</v>
      </c>
      <c r="G3" s="132"/>
      <c r="H3" s="132"/>
      <c r="I3" s="132"/>
      <c r="J3" s="132"/>
      <c r="K3" s="132"/>
      <c r="L3" s="132"/>
      <c r="M3" s="132"/>
      <c r="N3" s="143"/>
      <c r="O3" s="143"/>
      <c r="P3" s="143"/>
      <c r="Q3" s="143"/>
      <c r="R3" s="143"/>
      <c r="S3" s="143"/>
      <c r="T3" s="143"/>
      <c r="U3" s="143"/>
      <c r="V3" s="143">
        <v>11</v>
      </c>
      <c r="W3" s="143"/>
      <c r="X3" s="143"/>
      <c r="Y3" s="143"/>
      <c r="Z3" s="143"/>
      <c r="AA3" s="143"/>
      <c r="AB3" s="132"/>
      <c r="AC3" s="132"/>
      <c r="AD3" s="143">
        <v>0</v>
      </c>
      <c r="AE3" s="132">
        <v>75</v>
      </c>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v>0</v>
      </c>
      <c r="BS3" s="144">
        <v>0</v>
      </c>
      <c r="BT3" s="132">
        <v>0</v>
      </c>
      <c r="BU3" s="132"/>
      <c r="BV3" s="132"/>
      <c r="BW3" s="146" t="str">
        <f>+F3</f>
        <v>BAKER</v>
      </c>
    </row>
    <row r="4" spans="1:75" s="2" customFormat="1" x14ac:dyDescent="0.25">
      <c r="A4" s="73">
        <f t="shared" ref="A4:A35" si="2">SUBTOTAL(9,G4:BV4)</f>
        <v>280905.47100000008</v>
      </c>
      <c r="B4" s="97"/>
      <c r="C4" s="98" t="s">
        <v>200</v>
      </c>
      <c r="D4" s="98" t="s">
        <v>20</v>
      </c>
      <c r="E4" s="99" t="s">
        <v>60</v>
      </c>
      <c r="F4" s="126" t="s">
        <v>42</v>
      </c>
      <c r="G4" s="100">
        <v>929</v>
      </c>
      <c r="H4" s="100">
        <v>297</v>
      </c>
      <c r="I4" s="100">
        <v>315</v>
      </c>
      <c r="J4" s="100"/>
      <c r="K4" s="100"/>
      <c r="L4" s="100">
        <v>251</v>
      </c>
      <c r="M4" s="100">
        <v>2567</v>
      </c>
      <c r="N4" s="100">
        <v>1720</v>
      </c>
      <c r="O4" s="100">
        <v>213</v>
      </c>
      <c r="P4" s="100">
        <v>1621</v>
      </c>
      <c r="Q4" s="100">
        <v>3262</v>
      </c>
      <c r="R4" s="100">
        <v>6910</v>
      </c>
      <c r="S4" s="100">
        <v>2692</v>
      </c>
      <c r="T4" s="100">
        <v>2430</v>
      </c>
      <c r="U4" s="100">
        <v>4275</v>
      </c>
      <c r="V4" s="100">
        <v>3127</v>
      </c>
      <c r="W4" s="100">
        <v>3615</v>
      </c>
      <c r="X4" s="100">
        <v>3577</v>
      </c>
      <c r="Y4" s="100">
        <v>373</v>
      </c>
      <c r="Z4" s="100">
        <v>2101.81</v>
      </c>
      <c r="AA4" s="100">
        <v>9561.9599999999991</v>
      </c>
      <c r="AB4" s="100">
        <v>4545.8900000000003</v>
      </c>
      <c r="AC4" s="100">
        <v>1161.8</v>
      </c>
      <c r="AD4" s="101">
        <v>9171</v>
      </c>
      <c r="AE4" s="100">
        <v>7784</v>
      </c>
      <c r="AF4" s="100">
        <v>9256</v>
      </c>
      <c r="AG4" s="100">
        <v>4303.8100000000004</v>
      </c>
      <c r="AH4" s="100">
        <v>5749.52</v>
      </c>
      <c r="AI4" s="100">
        <v>7792.24</v>
      </c>
      <c r="AJ4" s="100">
        <v>4722.07</v>
      </c>
      <c r="AK4" s="100">
        <v>1038.6099999999999</v>
      </c>
      <c r="AL4" s="100">
        <v>7140.86</v>
      </c>
      <c r="AM4" s="100">
        <v>919.17</v>
      </c>
      <c r="AN4" s="100">
        <v>5445.47</v>
      </c>
      <c r="AO4" s="100">
        <v>4689.8609999999999</v>
      </c>
      <c r="AP4" s="100">
        <v>5312</v>
      </c>
      <c r="AQ4" s="100">
        <v>11647</v>
      </c>
      <c r="AR4" s="100">
        <v>8444</v>
      </c>
      <c r="AS4" s="100">
        <v>3571</v>
      </c>
      <c r="AT4" s="100">
        <v>7541</v>
      </c>
      <c r="AU4" s="100">
        <v>8567</v>
      </c>
      <c r="AV4" s="100">
        <v>2538</v>
      </c>
      <c r="AW4" s="100">
        <v>3636</v>
      </c>
      <c r="AX4" s="100">
        <v>4363</v>
      </c>
      <c r="AY4" s="100">
        <v>7066</v>
      </c>
      <c r="AZ4" s="100">
        <v>6955.69</v>
      </c>
      <c r="BA4" s="100">
        <v>4650</v>
      </c>
      <c r="BB4" s="100">
        <v>1624</v>
      </c>
      <c r="BC4" s="100">
        <v>5352</v>
      </c>
      <c r="BD4" s="100">
        <v>1602</v>
      </c>
      <c r="BE4" s="100">
        <f>7640.73+216.19</f>
        <v>7856.9199999999992</v>
      </c>
      <c r="BF4" s="100">
        <f>5067.34+80.27</f>
        <v>5147.6100000000006</v>
      </c>
      <c r="BG4" s="100">
        <f>3671.46+51.14</f>
        <v>3722.6</v>
      </c>
      <c r="BH4" s="100">
        <v>2276</v>
      </c>
      <c r="BI4" s="100">
        <f>4644.72+1157.27</f>
        <v>5801.99</v>
      </c>
      <c r="BJ4" s="100">
        <f>11134.77+1075.01</f>
        <v>12209.78</v>
      </c>
      <c r="BK4" s="100">
        <f>3498.04+11.56</f>
        <v>3509.6</v>
      </c>
      <c r="BL4" s="100">
        <v>3235.62</v>
      </c>
      <c r="BM4" s="100">
        <f>6776.7+1141.42</f>
        <v>7918.12</v>
      </c>
      <c r="BN4" s="100">
        <f>1134.01+319.62</f>
        <v>1453.63</v>
      </c>
      <c r="BO4" s="100">
        <f>5412+487</f>
        <v>5899</v>
      </c>
      <c r="BP4" s="100">
        <v>2920.2</v>
      </c>
      <c r="BQ4" s="100">
        <v>2392</v>
      </c>
      <c r="BR4" s="100">
        <v>5153.6099999999997</v>
      </c>
      <c r="BS4" s="103">
        <v>3982.81</v>
      </c>
      <c r="BT4" s="100">
        <v>232.63</v>
      </c>
      <c r="BU4" s="100">
        <v>766.59</v>
      </c>
      <c r="BV4" s="100"/>
      <c r="BW4" s="146" t="s">
        <v>42</v>
      </c>
    </row>
    <row r="5" spans="1:75" s="2" customFormat="1" x14ac:dyDescent="0.25">
      <c r="A5" s="73">
        <f t="shared" si="2"/>
        <v>105360.59999999999</v>
      </c>
      <c r="B5" s="97"/>
      <c r="C5" s="98" t="s">
        <v>200</v>
      </c>
      <c r="D5" s="98" t="s">
        <v>41</v>
      </c>
      <c r="E5" s="99" t="s">
        <v>63</v>
      </c>
      <c r="F5" s="126" t="s">
        <v>43</v>
      </c>
      <c r="G5" s="100"/>
      <c r="H5" s="100"/>
      <c r="I5" s="100"/>
      <c r="J5" s="100"/>
      <c r="K5" s="100"/>
      <c r="L5" s="100"/>
      <c r="M5" s="100"/>
      <c r="N5" s="100">
        <v>1765</v>
      </c>
      <c r="O5" s="100">
        <v>882</v>
      </c>
      <c r="P5" s="100">
        <v>9</v>
      </c>
      <c r="Q5" s="100">
        <v>1812</v>
      </c>
      <c r="R5" s="100">
        <v>280</v>
      </c>
      <c r="S5" s="100">
        <v>962</v>
      </c>
      <c r="T5" s="100">
        <v>22</v>
      </c>
      <c r="U5" s="100">
        <v>2335</v>
      </c>
      <c r="V5" s="100">
        <v>3659</v>
      </c>
      <c r="W5" s="100">
        <v>660</v>
      </c>
      <c r="X5" s="100">
        <v>1005</v>
      </c>
      <c r="Y5" s="100"/>
      <c r="Z5" s="100">
        <v>5</v>
      </c>
      <c r="AA5" s="100">
        <v>777.06</v>
      </c>
      <c r="AB5" s="100"/>
      <c r="AC5" s="100">
        <v>1183.4100000000001</v>
      </c>
      <c r="AD5" s="101">
        <v>2395</v>
      </c>
      <c r="AE5" s="100">
        <v>3248</v>
      </c>
      <c r="AF5" s="100">
        <v>313</v>
      </c>
      <c r="AG5" s="100">
        <v>7</v>
      </c>
      <c r="AH5" s="100">
        <v>1191.96</v>
      </c>
      <c r="AI5" s="100">
        <v>4405.04</v>
      </c>
      <c r="AJ5" s="100"/>
      <c r="AK5" s="100">
        <v>3452.45</v>
      </c>
      <c r="AL5" s="100">
        <v>1963.18</v>
      </c>
      <c r="AM5" s="100">
        <v>5515.04</v>
      </c>
      <c r="AN5" s="100">
        <v>165.03</v>
      </c>
      <c r="AO5" s="100"/>
      <c r="AP5" s="100">
        <v>1049</v>
      </c>
      <c r="AQ5" s="100">
        <v>12</v>
      </c>
      <c r="AR5" s="100"/>
      <c r="AS5" s="100">
        <v>2402</v>
      </c>
      <c r="AT5" s="100">
        <v>4160</v>
      </c>
      <c r="AU5" s="100"/>
      <c r="AV5" s="100">
        <v>3069</v>
      </c>
      <c r="AW5" s="100"/>
      <c r="AX5" s="100">
        <v>1652</v>
      </c>
      <c r="AY5" s="100"/>
      <c r="AZ5" s="100"/>
      <c r="BA5" s="100"/>
      <c r="BB5" s="100"/>
      <c r="BC5" s="100"/>
      <c r="BD5" s="100">
        <v>421</v>
      </c>
      <c r="BE5" s="100">
        <v>8370</v>
      </c>
      <c r="BF5" s="100">
        <v>7640</v>
      </c>
      <c r="BG5" s="100">
        <v>3296</v>
      </c>
      <c r="BH5" s="100">
        <v>4506</v>
      </c>
      <c r="BI5" s="100">
        <v>4700.72</v>
      </c>
      <c r="BJ5" s="100">
        <v>2887.34</v>
      </c>
      <c r="BK5" s="100">
        <v>2210.66</v>
      </c>
      <c r="BL5" s="100">
        <v>2048.34</v>
      </c>
      <c r="BM5" s="100">
        <v>1150.83</v>
      </c>
      <c r="BN5" s="100">
        <v>2048.98</v>
      </c>
      <c r="BO5" s="100"/>
      <c r="BP5" s="100">
        <v>2603.4699999999998</v>
      </c>
      <c r="BQ5" s="100">
        <v>2478</v>
      </c>
      <c r="BR5" s="100">
        <v>8935.9</v>
      </c>
      <c r="BS5" s="103">
        <v>25.62</v>
      </c>
      <c r="BT5" s="133">
        <v>0</v>
      </c>
      <c r="BU5" s="133">
        <v>1681.57</v>
      </c>
      <c r="BV5" s="133"/>
      <c r="BW5" s="146" t="s">
        <v>43</v>
      </c>
    </row>
    <row r="6" spans="1:75" s="242" customFormat="1" x14ac:dyDescent="0.25">
      <c r="A6" s="234">
        <f t="shared" si="2"/>
        <v>3240336.2320000003</v>
      </c>
      <c r="B6" s="235" t="s">
        <v>140</v>
      </c>
      <c r="C6" s="236" t="s">
        <v>202</v>
      </c>
      <c r="D6" s="236" t="s">
        <v>22</v>
      </c>
      <c r="E6" s="237" t="s">
        <v>36</v>
      </c>
      <c r="F6" s="238" t="s">
        <v>44</v>
      </c>
      <c r="G6" s="239">
        <v>17185</v>
      </c>
      <c r="H6" s="239">
        <v>2347</v>
      </c>
      <c r="I6" s="239">
        <v>6272</v>
      </c>
      <c r="J6" s="239">
        <v>1534</v>
      </c>
      <c r="K6" s="239">
        <v>10490</v>
      </c>
      <c r="L6" s="239">
        <v>3300</v>
      </c>
      <c r="M6" s="239">
        <v>4573</v>
      </c>
      <c r="N6" s="239">
        <v>18714</v>
      </c>
      <c r="O6" s="239">
        <v>19500</v>
      </c>
      <c r="P6" s="239">
        <v>9142</v>
      </c>
      <c r="Q6" s="239">
        <v>27404</v>
      </c>
      <c r="R6" s="239">
        <v>40648</v>
      </c>
      <c r="S6" s="239">
        <v>44874</v>
      </c>
      <c r="T6" s="239">
        <v>25217</v>
      </c>
      <c r="U6" s="239">
        <v>39753</v>
      </c>
      <c r="V6" s="239">
        <v>34948</v>
      </c>
      <c r="W6" s="239">
        <v>31430</v>
      </c>
      <c r="X6" s="239">
        <v>25399</v>
      </c>
      <c r="Y6" s="239">
        <v>25277</v>
      </c>
      <c r="Z6" s="239">
        <v>44579.02</v>
      </c>
      <c r="AA6" s="239">
        <v>32439.55</v>
      </c>
      <c r="AB6" s="239">
        <v>24278.36</v>
      </c>
      <c r="AC6" s="239">
        <v>19443.59</v>
      </c>
      <c r="AD6" s="239">
        <v>54310</v>
      </c>
      <c r="AE6" s="239">
        <v>62988</v>
      </c>
      <c r="AF6" s="239">
        <v>30488</v>
      </c>
      <c r="AG6" s="239">
        <v>27667.67</v>
      </c>
      <c r="AH6" s="239">
        <v>69292.25</v>
      </c>
      <c r="AI6" s="239">
        <v>46125.15</v>
      </c>
      <c r="AJ6" s="239">
        <v>55370.27</v>
      </c>
      <c r="AK6" s="239">
        <v>72413.48</v>
      </c>
      <c r="AL6" s="239">
        <v>60582.9</v>
      </c>
      <c r="AM6" s="239">
        <v>71440.36</v>
      </c>
      <c r="AN6" s="239">
        <v>57767.21</v>
      </c>
      <c r="AO6" s="239">
        <v>75769.952000000005</v>
      </c>
      <c r="AP6" s="239">
        <v>97982</v>
      </c>
      <c r="AQ6" s="239">
        <v>84438</v>
      </c>
      <c r="AR6" s="239">
        <v>45498</v>
      </c>
      <c r="AS6" s="239">
        <v>45094</v>
      </c>
      <c r="AT6" s="239">
        <v>90369</v>
      </c>
      <c r="AU6" s="239">
        <v>37010</v>
      </c>
      <c r="AV6" s="239">
        <v>16070</v>
      </c>
      <c r="AW6" s="239">
        <v>24641</v>
      </c>
      <c r="AX6" s="239">
        <v>27468</v>
      </c>
      <c r="AY6" s="239">
        <v>27527</v>
      </c>
      <c r="AZ6" s="239">
        <v>41247</v>
      </c>
      <c r="BA6" s="239">
        <v>40021</v>
      </c>
      <c r="BB6" s="239">
        <v>32635</v>
      </c>
      <c r="BC6" s="239">
        <f>53973.25+2176.91</f>
        <v>56150.16</v>
      </c>
      <c r="BD6" s="239">
        <v>29699</v>
      </c>
      <c r="BE6" s="239">
        <v>39585</v>
      </c>
      <c r="BF6" s="239">
        <v>69200</v>
      </c>
      <c r="BG6" s="239">
        <f>71377.02+224.59</f>
        <v>71601.61</v>
      </c>
      <c r="BH6" s="239">
        <v>73061</v>
      </c>
      <c r="BI6" s="239">
        <f>131150.49+1623.2</f>
        <v>132773.69</v>
      </c>
      <c r="BJ6" s="239">
        <f>84631.58+981.52</f>
        <v>85613.1</v>
      </c>
      <c r="BK6" s="239">
        <f>94211.13+778.12</f>
        <v>94989.25</v>
      </c>
      <c r="BL6" s="239">
        <f>91365.66+60.84</f>
        <v>91426.5</v>
      </c>
      <c r="BM6" s="239">
        <f>77346.72+432.69</f>
        <v>77779.41</v>
      </c>
      <c r="BN6" s="239">
        <f>87618.89+2268.84</f>
        <v>89887.73</v>
      </c>
      <c r="BO6" s="239">
        <f>96062+1136+8516+688</f>
        <v>106402</v>
      </c>
      <c r="BP6" s="239">
        <f>81354.96+836.3+1235.38</f>
        <v>83426.640000000014</v>
      </c>
      <c r="BQ6" s="239">
        <f>60524+137</f>
        <v>60661</v>
      </c>
      <c r="BR6" s="239">
        <f>60536.27+237.75</f>
        <v>60774.02</v>
      </c>
      <c r="BS6" s="240">
        <f>79233.67+26.3</f>
        <v>79259.97</v>
      </c>
      <c r="BT6" s="239">
        <f>54445.04+9.07+259.77</f>
        <v>54713.88</v>
      </c>
      <c r="BU6" s="239">
        <f>80200.45+169.06</f>
        <v>80369.509999999995</v>
      </c>
      <c r="BV6" s="239"/>
      <c r="BW6" s="241" t="s">
        <v>44</v>
      </c>
    </row>
    <row r="7" spans="1:75" s="242" customFormat="1" x14ac:dyDescent="0.25">
      <c r="A7" s="234">
        <f t="shared" si="2"/>
        <v>165297.47099999996</v>
      </c>
      <c r="B7" s="235" t="s">
        <v>140</v>
      </c>
      <c r="C7" s="236" t="s">
        <v>202</v>
      </c>
      <c r="D7" s="236" t="s">
        <v>23</v>
      </c>
      <c r="E7" s="237" t="s">
        <v>37</v>
      </c>
      <c r="F7" s="238" t="s">
        <v>45</v>
      </c>
      <c r="G7" s="239"/>
      <c r="H7" s="239">
        <v>36</v>
      </c>
      <c r="I7" s="239"/>
      <c r="J7" s="239">
        <v>5</v>
      </c>
      <c r="K7" s="239"/>
      <c r="L7" s="239"/>
      <c r="M7" s="239"/>
      <c r="N7" s="239">
        <v>200</v>
      </c>
      <c r="O7" s="239"/>
      <c r="P7" s="239"/>
      <c r="Q7" s="239"/>
      <c r="R7" s="239">
        <v>62</v>
      </c>
      <c r="S7" s="239">
        <v>974</v>
      </c>
      <c r="T7" s="239">
        <v>673</v>
      </c>
      <c r="U7" s="239">
        <v>1184</v>
      </c>
      <c r="V7" s="239">
        <v>1786</v>
      </c>
      <c r="W7" s="239">
        <v>2547</v>
      </c>
      <c r="X7" s="239">
        <v>2562</v>
      </c>
      <c r="Y7" s="239">
        <v>1179</v>
      </c>
      <c r="Z7" s="239">
        <v>1598.33</v>
      </c>
      <c r="AA7" s="239">
        <v>210.41</v>
      </c>
      <c r="AB7" s="239">
        <v>678.53</v>
      </c>
      <c r="AC7" s="239">
        <v>475.87</v>
      </c>
      <c r="AD7" s="239">
        <v>3181</v>
      </c>
      <c r="AE7" s="239">
        <v>7801</v>
      </c>
      <c r="AF7" s="239">
        <v>1228</v>
      </c>
      <c r="AG7" s="239">
        <v>1101.4000000000001</v>
      </c>
      <c r="AH7" s="239">
        <v>2880.48</v>
      </c>
      <c r="AI7" s="239">
        <v>1309.0899999999999</v>
      </c>
      <c r="AJ7" s="239">
        <v>3960.06</v>
      </c>
      <c r="AK7" s="239">
        <v>5087.83</v>
      </c>
      <c r="AL7" s="239">
        <v>2277.52</v>
      </c>
      <c r="AM7" s="239">
        <v>2576.58</v>
      </c>
      <c r="AN7" s="239">
        <v>4158.4799999999996</v>
      </c>
      <c r="AO7" s="239">
        <v>5768.1509999999998</v>
      </c>
      <c r="AP7" s="239">
        <v>3833</v>
      </c>
      <c r="AQ7" s="239">
        <v>5091</v>
      </c>
      <c r="AR7" s="239">
        <v>8860</v>
      </c>
      <c r="AS7" s="239">
        <v>5156</v>
      </c>
      <c r="AT7" s="239">
        <v>6699</v>
      </c>
      <c r="AU7" s="239">
        <v>4588</v>
      </c>
      <c r="AV7" s="239">
        <v>5398</v>
      </c>
      <c r="AW7" s="239"/>
      <c r="AX7" s="239">
        <v>3191</v>
      </c>
      <c r="AY7" s="239">
        <v>5137</v>
      </c>
      <c r="AZ7" s="239">
        <v>3200</v>
      </c>
      <c r="BA7" s="239">
        <v>2422</v>
      </c>
      <c r="BB7" s="239">
        <v>4327</v>
      </c>
      <c r="BC7" s="239">
        <v>5392.78</v>
      </c>
      <c r="BD7" s="239"/>
      <c r="BE7" s="239">
        <v>1559</v>
      </c>
      <c r="BF7" s="239">
        <v>3052</v>
      </c>
      <c r="BG7" s="239">
        <v>1063.94</v>
      </c>
      <c r="BH7" s="239">
        <v>6486</v>
      </c>
      <c r="BI7" s="239">
        <v>2977.94</v>
      </c>
      <c r="BJ7" s="239">
        <v>2888.52</v>
      </c>
      <c r="BK7" s="239">
        <v>3606.72</v>
      </c>
      <c r="BL7" s="239">
        <v>3414.73</v>
      </c>
      <c r="BM7" s="239">
        <v>3345.77</v>
      </c>
      <c r="BN7" s="239">
        <v>6846.46</v>
      </c>
      <c r="BO7" s="239">
        <v>1002</v>
      </c>
      <c r="BP7" s="239">
        <v>7981.84</v>
      </c>
      <c r="BQ7" s="239">
        <v>-13</v>
      </c>
      <c r="BR7" s="239">
        <v>0</v>
      </c>
      <c r="BS7" s="240">
        <v>1732.02</v>
      </c>
      <c r="BT7" s="239">
        <v>558.02</v>
      </c>
      <c r="BU7" s="239"/>
      <c r="BV7" s="239"/>
      <c r="BW7" s="241" t="s">
        <v>45</v>
      </c>
    </row>
    <row r="8" spans="1:75" s="113" customFormat="1" x14ac:dyDescent="0.25">
      <c r="A8" s="73">
        <f t="shared" si="2"/>
        <v>1533303.4800000002</v>
      </c>
      <c r="B8" s="114" t="s">
        <v>266</v>
      </c>
      <c r="C8" s="115" t="s">
        <v>176</v>
      </c>
      <c r="D8" s="115" t="s">
        <v>25</v>
      </c>
      <c r="E8" s="116" t="s">
        <v>68</v>
      </c>
      <c r="F8" s="127" t="s">
        <v>46</v>
      </c>
      <c r="G8" s="117"/>
      <c r="H8" s="117">
        <v>678</v>
      </c>
      <c r="I8" s="117"/>
      <c r="J8" s="117"/>
      <c r="K8" s="117">
        <v>109</v>
      </c>
      <c r="L8" s="117">
        <v>297</v>
      </c>
      <c r="M8" s="117">
        <v>730</v>
      </c>
      <c r="N8" s="117">
        <v>243</v>
      </c>
      <c r="O8" s="117">
        <v>878</v>
      </c>
      <c r="P8" s="117">
        <v>579</v>
      </c>
      <c r="Q8" s="117">
        <v>10796</v>
      </c>
      <c r="R8" s="117">
        <v>14175</v>
      </c>
      <c r="S8" s="117">
        <v>27019</v>
      </c>
      <c r="T8" s="117">
        <v>34067</v>
      </c>
      <c r="U8" s="117">
        <v>28642</v>
      </c>
      <c r="V8" s="117">
        <v>53361</v>
      </c>
      <c r="W8" s="117">
        <v>62462</v>
      </c>
      <c r="X8" s="117">
        <v>52446</v>
      </c>
      <c r="Y8" s="117">
        <v>28193</v>
      </c>
      <c r="Z8" s="117">
        <v>22097.71</v>
      </c>
      <c r="AA8" s="117">
        <v>33046.839999999997</v>
      </c>
      <c r="AB8" s="117">
        <v>41137.279999999999</v>
      </c>
      <c r="AC8" s="117">
        <v>28036.48</v>
      </c>
      <c r="AD8" s="118">
        <v>42296</v>
      </c>
      <c r="AE8" s="117">
        <f>54229+7932</f>
        <v>62161</v>
      </c>
      <c r="AF8" s="117">
        <v>61883</v>
      </c>
      <c r="AG8" s="117">
        <v>35636.97</v>
      </c>
      <c r="AH8" s="117">
        <v>23834.54</v>
      </c>
      <c r="AI8" s="117">
        <v>35596.81</v>
      </c>
      <c r="AJ8" s="117">
        <v>64904.12</v>
      </c>
      <c r="AK8" s="117">
        <v>50610.74</v>
      </c>
      <c r="AL8" s="117">
        <v>30074.49</v>
      </c>
      <c r="AM8" s="117">
        <v>36128.959999999999</v>
      </c>
      <c r="AN8" s="117">
        <v>14961.85</v>
      </c>
      <c r="AO8" s="117">
        <v>23158.720000000001</v>
      </c>
      <c r="AP8" s="117">
        <v>16741</v>
      </c>
      <c r="AQ8" s="117">
        <v>51919</v>
      </c>
      <c r="AR8" s="117">
        <v>31080</v>
      </c>
      <c r="AS8" s="117">
        <v>23182</v>
      </c>
      <c r="AT8" s="117">
        <v>18690</v>
      </c>
      <c r="AU8" s="117">
        <v>22005</v>
      </c>
      <c r="AV8" s="117">
        <v>20797</v>
      </c>
      <c r="AW8" s="117">
        <v>11273</v>
      </c>
      <c r="AX8" s="117">
        <v>15524</v>
      </c>
      <c r="AY8" s="117">
        <v>21848</v>
      </c>
      <c r="AZ8" s="117">
        <v>16918</v>
      </c>
      <c r="BA8" s="117">
        <v>10151</v>
      </c>
      <c r="BB8" s="117">
        <v>13827</v>
      </c>
      <c r="BC8" s="117">
        <f>16.14+15011.2</f>
        <v>15027.34</v>
      </c>
      <c r="BD8" s="117">
        <v>19688</v>
      </c>
      <c r="BE8" s="117">
        <v>25557</v>
      </c>
      <c r="BF8" s="117">
        <f>713.81+35099.48</f>
        <v>35813.29</v>
      </c>
      <c r="BG8" s="117">
        <f>2596.07+20371.99</f>
        <v>22968.06</v>
      </c>
      <c r="BH8" s="117">
        <v>22848</v>
      </c>
      <c r="BI8" s="117">
        <f>761.66+15287.3</f>
        <v>16048.96</v>
      </c>
      <c r="BJ8" s="117">
        <f>1043.96+21297.96</f>
        <v>22341.919999999998</v>
      </c>
      <c r="BK8" s="117">
        <f>376.55+28066.14</f>
        <v>28442.69</v>
      </c>
      <c r="BL8" s="117">
        <f>1707.82+6151.3</f>
        <v>7859.12</v>
      </c>
      <c r="BM8" s="117">
        <f>1667.98+14856.69</f>
        <v>16524.670000000002</v>
      </c>
      <c r="BN8" s="117">
        <f>2802.54+14223.43</f>
        <v>17025.97</v>
      </c>
      <c r="BO8" s="117">
        <f>1962+15053</f>
        <v>17015</v>
      </c>
      <c r="BP8" s="117">
        <f>1565.93+8191.15</f>
        <v>9757.08</v>
      </c>
      <c r="BQ8" s="117">
        <f>2140+24860</f>
        <v>27000</v>
      </c>
      <c r="BR8" s="117">
        <f>784.47+27441.47</f>
        <v>28225.940000000002</v>
      </c>
      <c r="BS8" s="119">
        <v>4304.3599999999997</v>
      </c>
      <c r="BT8" s="117">
        <v>0</v>
      </c>
      <c r="BU8" s="117">
        <f>24.42+2636.15</f>
        <v>2660.57</v>
      </c>
      <c r="BV8" s="117"/>
      <c r="BW8" s="146" t="s">
        <v>46</v>
      </c>
    </row>
    <row r="9" spans="1:75" s="2" customFormat="1" x14ac:dyDescent="0.25">
      <c r="A9" s="73">
        <f t="shared" si="2"/>
        <v>172</v>
      </c>
      <c r="B9" s="97"/>
      <c r="C9" s="98" t="s">
        <v>175</v>
      </c>
      <c r="D9" s="98" t="s">
        <v>173</v>
      </c>
      <c r="E9" s="99" t="s">
        <v>148</v>
      </c>
      <c r="F9" s="126" t="s">
        <v>147</v>
      </c>
      <c r="G9" s="100"/>
      <c r="H9" s="100"/>
      <c r="I9" s="100"/>
      <c r="J9" s="100"/>
      <c r="K9" s="100"/>
      <c r="L9" s="100"/>
      <c r="M9" s="100"/>
      <c r="N9" s="101"/>
      <c r="O9" s="101"/>
      <c r="P9" s="101"/>
      <c r="Q9" s="101"/>
      <c r="R9" s="101"/>
      <c r="S9" s="101"/>
      <c r="T9" s="101"/>
      <c r="U9" s="101"/>
      <c r="V9" s="101"/>
      <c r="W9" s="101"/>
      <c r="X9" s="101"/>
      <c r="Y9" s="101">
        <v>139</v>
      </c>
      <c r="Z9" s="101">
        <v>32</v>
      </c>
      <c r="AA9" s="101"/>
      <c r="AB9" s="100"/>
      <c r="AC9" s="100"/>
      <c r="AD9" s="101">
        <v>0</v>
      </c>
      <c r="AE9" s="100"/>
      <c r="AF9" s="100"/>
      <c r="AG9" s="100"/>
      <c r="AH9" s="100"/>
      <c r="AI9" s="100"/>
      <c r="AJ9" s="100"/>
      <c r="AK9" s="100"/>
      <c r="AL9" s="100">
        <v>1</v>
      </c>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v>0</v>
      </c>
      <c r="BS9" s="103">
        <v>0</v>
      </c>
      <c r="BT9" s="100">
        <v>0</v>
      </c>
      <c r="BU9" s="100"/>
      <c r="BV9" s="100"/>
      <c r="BW9" s="146" t="s">
        <v>147</v>
      </c>
    </row>
    <row r="10" spans="1:75" s="2" customFormat="1" x14ac:dyDescent="0.25">
      <c r="A10" s="73">
        <f t="shared" si="2"/>
        <v>63629.15</v>
      </c>
      <c r="B10" s="97"/>
      <c r="C10" s="98" t="s">
        <v>176</v>
      </c>
      <c r="D10" s="98" t="s">
        <v>25</v>
      </c>
      <c r="E10" s="99" t="s">
        <v>69</v>
      </c>
      <c r="F10" s="126" t="s">
        <v>47</v>
      </c>
      <c r="G10" s="100"/>
      <c r="H10" s="100"/>
      <c r="I10" s="100"/>
      <c r="J10" s="100">
        <v>285</v>
      </c>
      <c r="K10" s="100"/>
      <c r="L10" s="100"/>
      <c r="M10" s="100"/>
      <c r="N10" s="100">
        <v>53</v>
      </c>
      <c r="O10" s="100">
        <v>180</v>
      </c>
      <c r="P10" s="100"/>
      <c r="Q10" s="100"/>
      <c r="R10" s="100"/>
      <c r="S10" s="100">
        <v>18</v>
      </c>
      <c r="T10" s="100"/>
      <c r="U10" s="100">
        <v>3759</v>
      </c>
      <c r="V10" s="100"/>
      <c r="W10" s="100"/>
      <c r="X10" s="100">
        <v>155</v>
      </c>
      <c r="Y10" s="100">
        <v>235</v>
      </c>
      <c r="Z10" s="100"/>
      <c r="AA10" s="100"/>
      <c r="AB10" s="100">
        <v>2978.86</v>
      </c>
      <c r="AC10" s="100">
        <v>8288.7900000000009</v>
      </c>
      <c r="AD10" s="101">
        <v>1909</v>
      </c>
      <c r="AE10" s="100">
        <v>1864</v>
      </c>
      <c r="AF10" s="100">
        <v>5434</v>
      </c>
      <c r="AG10" s="100">
        <v>230.38</v>
      </c>
      <c r="AH10" s="100">
        <v>329.66</v>
      </c>
      <c r="AI10" s="100"/>
      <c r="AJ10" s="100">
        <v>1678.19</v>
      </c>
      <c r="AK10" s="100">
        <v>187.23</v>
      </c>
      <c r="AL10" s="100">
        <v>3.2</v>
      </c>
      <c r="AM10" s="100">
        <v>300.7</v>
      </c>
      <c r="AN10" s="100">
        <v>241.03</v>
      </c>
      <c r="AO10" s="100"/>
      <c r="AP10" s="100"/>
      <c r="AQ10" s="100">
        <v>2049</v>
      </c>
      <c r="AR10" s="100">
        <v>3689</v>
      </c>
      <c r="AS10" s="100">
        <v>1860</v>
      </c>
      <c r="AT10" s="100"/>
      <c r="AU10" s="100">
        <v>2639</v>
      </c>
      <c r="AV10" s="100">
        <v>23698</v>
      </c>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v>1183.03</v>
      </c>
      <c r="BS10" s="103">
        <v>381.08</v>
      </c>
      <c r="BT10" s="100">
        <v>0</v>
      </c>
      <c r="BU10" s="100"/>
      <c r="BV10" s="100"/>
      <c r="BW10" s="146" t="s">
        <v>47</v>
      </c>
    </row>
    <row r="11" spans="1:75" s="2" customFormat="1" x14ac:dyDescent="0.25">
      <c r="A11" s="73">
        <f t="shared" si="2"/>
        <v>165</v>
      </c>
      <c r="B11" s="97"/>
      <c r="C11" s="98" t="s">
        <v>175</v>
      </c>
      <c r="D11" s="98" t="s">
        <v>173</v>
      </c>
      <c r="E11" s="99" t="s">
        <v>150</v>
      </c>
      <c r="F11" s="126" t="s">
        <v>149</v>
      </c>
      <c r="G11" s="100"/>
      <c r="H11" s="100"/>
      <c r="I11" s="100"/>
      <c r="J11" s="100"/>
      <c r="K11" s="100"/>
      <c r="L11" s="100"/>
      <c r="M11" s="100"/>
      <c r="N11" s="101"/>
      <c r="O11" s="101"/>
      <c r="P11" s="101"/>
      <c r="Q11" s="101"/>
      <c r="R11" s="101"/>
      <c r="S11" s="101"/>
      <c r="T11" s="101"/>
      <c r="U11" s="101"/>
      <c r="V11" s="101"/>
      <c r="W11" s="101"/>
      <c r="X11" s="101"/>
      <c r="Y11" s="101"/>
      <c r="Z11" s="101">
        <v>150</v>
      </c>
      <c r="AA11" s="101">
        <v>15</v>
      </c>
      <c r="AB11" s="100"/>
      <c r="AC11" s="100"/>
      <c r="AD11" s="101">
        <v>0</v>
      </c>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v>0</v>
      </c>
      <c r="BS11" s="103">
        <v>0</v>
      </c>
      <c r="BT11" s="100">
        <v>0</v>
      </c>
      <c r="BU11" s="100"/>
      <c r="BV11" s="100"/>
      <c r="BW11" s="146" t="s">
        <v>149</v>
      </c>
    </row>
    <row r="12" spans="1:75" s="2" customFormat="1" x14ac:dyDescent="0.25">
      <c r="A12" s="73">
        <f t="shared" si="2"/>
        <v>867740.22199999972</v>
      </c>
      <c r="B12" s="97"/>
      <c r="C12" s="98" t="s">
        <v>176</v>
      </c>
      <c r="D12" s="98" t="s">
        <v>26</v>
      </c>
      <c r="E12" s="99" t="s">
        <v>67</v>
      </c>
      <c r="F12" s="126" t="s">
        <v>48</v>
      </c>
      <c r="G12" s="100">
        <v>9853</v>
      </c>
      <c r="H12" s="100">
        <v>6909</v>
      </c>
      <c r="I12" s="100">
        <v>7408</v>
      </c>
      <c r="J12" s="100">
        <v>0</v>
      </c>
      <c r="K12" s="100">
        <v>199</v>
      </c>
      <c r="L12" s="100">
        <v>1120</v>
      </c>
      <c r="M12" s="100">
        <v>221</v>
      </c>
      <c r="N12" s="100">
        <v>2849</v>
      </c>
      <c r="O12" s="100">
        <v>5960</v>
      </c>
      <c r="P12" s="100">
        <v>10970</v>
      </c>
      <c r="Q12" s="100">
        <v>9745</v>
      </c>
      <c r="R12" s="100">
        <v>14886</v>
      </c>
      <c r="S12" s="100">
        <v>27344</v>
      </c>
      <c r="T12" s="100">
        <v>25850</v>
      </c>
      <c r="U12" s="100">
        <v>11204</v>
      </c>
      <c r="V12" s="100">
        <v>35658</v>
      </c>
      <c r="W12" s="100">
        <v>44871</v>
      </c>
      <c r="X12" s="100">
        <v>37078</v>
      </c>
      <c r="Y12" s="100">
        <v>22599</v>
      </c>
      <c r="Z12" s="100">
        <v>17518.490000000002</v>
      </c>
      <c r="AA12" s="100">
        <v>34617.51</v>
      </c>
      <c r="AB12" s="100">
        <v>31318.01</v>
      </c>
      <c r="AC12" s="100">
        <v>27816.1</v>
      </c>
      <c r="AD12" s="101">
        <v>19706</v>
      </c>
      <c r="AE12" s="100">
        <f>22891+7932</f>
        <v>30823</v>
      </c>
      <c r="AF12" s="100">
        <v>29013</v>
      </c>
      <c r="AG12" s="100">
        <v>13281.38</v>
      </c>
      <c r="AH12" s="100">
        <v>14379.74</v>
      </c>
      <c r="AI12" s="100">
        <v>22530.66</v>
      </c>
      <c r="AJ12" s="100">
        <v>27044.14</v>
      </c>
      <c r="AK12" s="100">
        <v>17341.439999999999</v>
      </c>
      <c r="AL12" s="100">
        <v>13944.35</v>
      </c>
      <c r="AM12" s="100">
        <v>6779.08</v>
      </c>
      <c r="AN12" s="100">
        <v>11595.98</v>
      </c>
      <c r="AO12" s="100">
        <v>6272.232</v>
      </c>
      <c r="AP12" s="100">
        <v>11015</v>
      </c>
      <c r="AQ12" s="100">
        <v>23784</v>
      </c>
      <c r="AR12" s="100">
        <v>24272</v>
      </c>
      <c r="AS12" s="100">
        <v>23019</v>
      </c>
      <c r="AT12" s="100">
        <v>17008</v>
      </c>
      <c r="AU12" s="100">
        <v>16260</v>
      </c>
      <c r="AV12" s="100">
        <v>37</v>
      </c>
      <c r="AW12" s="100">
        <v>3606</v>
      </c>
      <c r="AX12" s="100">
        <v>9704</v>
      </c>
      <c r="AY12" s="100">
        <v>11645</v>
      </c>
      <c r="AZ12" s="100">
        <v>6851</v>
      </c>
      <c r="BA12" s="100">
        <v>1350</v>
      </c>
      <c r="BB12" s="100">
        <v>721</v>
      </c>
      <c r="BC12" s="100">
        <f>79.25+5956.74</f>
        <v>6035.99</v>
      </c>
      <c r="BD12" s="100">
        <v>2498</v>
      </c>
      <c r="BE12" s="100">
        <v>10144</v>
      </c>
      <c r="BF12" s="100">
        <f>1246.44+5752.93</f>
        <v>6999.3700000000008</v>
      </c>
      <c r="BG12" s="100">
        <v>12153</v>
      </c>
      <c r="BH12" s="100">
        <v>7525</v>
      </c>
      <c r="BI12" s="100">
        <f>1876.88+2836.48</f>
        <v>4713.3600000000006</v>
      </c>
      <c r="BJ12" s="100">
        <f>29.39+6518.38</f>
        <v>6547.77</v>
      </c>
      <c r="BK12" s="100">
        <f>11.93+4876.62</f>
        <v>4888.55</v>
      </c>
      <c r="BL12" s="100">
        <f>1243.33+4927.88</f>
        <v>6171.21</v>
      </c>
      <c r="BM12" s="100">
        <f>2464.63+5548.64</f>
        <v>8013.27</v>
      </c>
      <c r="BN12" s="100">
        <f>2979.67+414.04</f>
        <v>3393.71</v>
      </c>
      <c r="BO12" s="100">
        <f>365+3689+2242</f>
        <v>6296</v>
      </c>
      <c r="BP12" s="100">
        <f>163.06+7853.56+1206.34+0</f>
        <v>9222.9600000000009</v>
      </c>
      <c r="BQ12" s="100">
        <f>1780+3013</f>
        <v>4793</v>
      </c>
      <c r="BR12" s="100">
        <f>1776.84+1357.64</f>
        <v>3134.48</v>
      </c>
      <c r="BS12" s="103">
        <f>1310.91+1293.74</f>
        <v>2604.65</v>
      </c>
      <c r="BT12" s="100">
        <f>6956.86+766.71+9.11</f>
        <v>7732.6799999999994</v>
      </c>
      <c r="BU12" s="100">
        <f>993.41+5902.7</f>
        <v>6896.11</v>
      </c>
      <c r="BV12" s="100"/>
      <c r="BW12" s="146" t="s">
        <v>48</v>
      </c>
    </row>
    <row r="13" spans="1:75" s="2" customFormat="1" x14ac:dyDescent="0.25">
      <c r="A13" s="73">
        <f t="shared" si="2"/>
        <v>10687.94</v>
      </c>
      <c r="B13" s="97"/>
      <c r="C13" s="98" t="s">
        <v>175</v>
      </c>
      <c r="D13" s="98" t="s">
        <v>173</v>
      </c>
      <c r="E13" s="99" t="s">
        <v>152</v>
      </c>
      <c r="F13" s="126" t="s">
        <v>151</v>
      </c>
      <c r="G13" s="100"/>
      <c r="H13" s="100"/>
      <c r="I13" s="100"/>
      <c r="J13" s="100"/>
      <c r="K13" s="100"/>
      <c r="L13" s="100"/>
      <c r="M13" s="100"/>
      <c r="N13" s="101"/>
      <c r="O13" s="101"/>
      <c r="P13" s="101"/>
      <c r="Q13" s="101"/>
      <c r="R13" s="101">
        <v>1580</v>
      </c>
      <c r="S13" s="101">
        <v>455</v>
      </c>
      <c r="T13" s="101"/>
      <c r="U13" s="101">
        <v>3900</v>
      </c>
      <c r="V13" s="101"/>
      <c r="W13" s="101">
        <v>258</v>
      </c>
      <c r="X13" s="101">
        <v>1167</v>
      </c>
      <c r="Y13" s="101"/>
      <c r="Z13" s="101"/>
      <c r="AA13" s="101"/>
      <c r="AB13" s="100">
        <v>42</v>
      </c>
      <c r="AC13" s="100">
        <v>2514.58</v>
      </c>
      <c r="AD13" s="101">
        <v>0</v>
      </c>
      <c r="AE13" s="100"/>
      <c r="AF13" s="100"/>
      <c r="AG13" s="100"/>
      <c r="AH13" s="100"/>
      <c r="AI13" s="100">
        <v>771.36</v>
      </c>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v>0</v>
      </c>
      <c r="BS13" s="103">
        <v>0</v>
      </c>
      <c r="BT13" s="100">
        <v>0</v>
      </c>
      <c r="BU13" s="100"/>
      <c r="BV13" s="100"/>
      <c r="BW13" s="146" t="s">
        <v>151</v>
      </c>
    </row>
    <row r="14" spans="1:75" s="2" customFormat="1" x14ac:dyDescent="0.25">
      <c r="A14" s="73">
        <f t="shared" si="2"/>
        <v>1419</v>
      </c>
      <c r="B14" s="97"/>
      <c r="C14" s="98" t="s">
        <v>175</v>
      </c>
      <c r="D14" s="98" t="s">
        <v>173</v>
      </c>
      <c r="E14" s="99" t="s">
        <v>154</v>
      </c>
      <c r="F14" s="126" t="s">
        <v>153</v>
      </c>
      <c r="G14" s="100"/>
      <c r="H14" s="100"/>
      <c r="I14" s="100"/>
      <c r="J14" s="100"/>
      <c r="K14" s="100"/>
      <c r="L14" s="100"/>
      <c r="M14" s="100"/>
      <c r="N14" s="101"/>
      <c r="O14" s="101"/>
      <c r="P14" s="101"/>
      <c r="Q14" s="101"/>
      <c r="R14" s="101"/>
      <c r="S14" s="101"/>
      <c r="T14" s="101"/>
      <c r="U14" s="101"/>
      <c r="V14" s="101"/>
      <c r="W14" s="101"/>
      <c r="X14" s="101"/>
      <c r="Y14" s="101">
        <v>341</v>
      </c>
      <c r="Z14" s="101"/>
      <c r="AA14" s="101"/>
      <c r="AB14" s="100"/>
      <c r="AC14" s="100"/>
      <c r="AD14" s="101">
        <v>1075</v>
      </c>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v>3</v>
      </c>
      <c r="BC14" s="100"/>
      <c r="BD14" s="100"/>
      <c r="BE14" s="100"/>
      <c r="BF14" s="100"/>
      <c r="BG14" s="100"/>
      <c r="BH14" s="100"/>
      <c r="BI14" s="100"/>
      <c r="BJ14" s="100"/>
      <c r="BK14" s="100"/>
      <c r="BL14" s="100"/>
      <c r="BM14" s="100"/>
      <c r="BN14" s="100"/>
      <c r="BO14" s="100"/>
      <c r="BP14" s="100"/>
      <c r="BQ14" s="100"/>
      <c r="BR14" s="100">
        <v>0</v>
      </c>
      <c r="BS14" s="103">
        <v>0</v>
      </c>
      <c r="BT14" s="100">
        <v>0</v>
      </c>
      <c r="BU14" s="100"/>
      <c r="BV14" s="100"/>
      <c r="BW14" s="146" t="s">
        <v>153</v>
      </c>
    </row>
    <row r="15" spans="1:75" s="2" customFormat="1" x14ac:dyDescent="0.25">
      <c r="A15" s="73">
        <f t="shared" si="2"/>
        <v>4292.45</v>
      </c>
      <c r="B15" s="97"/>
      <c r="C15" s="98" t="s">
        <v>175</v>
      </c>
      <c r="D15" s="98" t="s">
        <v>173</v>
      </c>
      <c r="E15" s="99" t="s">
        <v>155</v>
      </c>
      <c r="F15" s="126" t="s">
        <v>177</v>
      </c>
      <c r="G15" s="100"/>
      <c r="H15" s="100"/>
      <c r="I15" s="100"/>
      <c r="J15" s="100"/>
      <c r="K15" s="100"/>
      <c r="L15" s="100"/>
      <c r="M15" s="100"/>
      <c r="N15" s="101"/>
      <c r="O15" s="101"/>
      <c r="P15" s="101"/>
      <c r="Q15" s="101">
        <v>60</v>
      </c>
      <c r="R15" s="101"/>
      <c r="S15" s="101"/>
      <c r="T15" s="101"/>
      <c r="U15" s="101"/>
      <c r="V15" s="101"/>
      <c r="W15" s="101"/>
      <c r="X15" s="101"/>
      <c r="Y15" s="101"/>
      <c r="Z15" s="101"/>
      <c r="AA15" s="101"/>
      <c r="AB15" s="100"/>
      <c r="AC15" s="100">
        <v>1747.45</v>
      </c>
      <c r="AD15" s="101">
        <v>2072</v>
      </c>
      <c r="AE15" s="100"/>
      <c r="AF15" s="100"/>
      <c r="AG15" s="100"/>
      <c r="AH15" s="100"/>
      <c r="AI15" s="100"/>
      <c r="AJ15" s="100"/>
      <c r="AK15" s="100"/>
      <c r="AL15" s="100"/>
      <c r="AM15" s="100">
        <v>18</v>
      </c>
      <c r="AN15" s="100"/>
      <c r="AO15" s="100">
        <v>129</v>
      </c>
      <c r="AP15" s="100"/>
      <c r="AQ15" s="100">
        <v>42</v>
      </c>
      <c r="AR15" s="100">
        <v>210</v>
      </c>
      <c r="AS15" s="100"/>
      <c r="AT15" s="100"/>
      <c r="AU15" s="100"/>
      <c r="AV15" s="100">
        <v>7</v>
      </c>
      <c r="AW15" s="100"/>
      <c r="AX15" s="100"/>
      <c r="AY15" s="100">
        <v>5</v>
      </c>
      <c r="AZ15" s="100">
        <v>2</v>
      </c>
      <c r="BA15" s="100"/>
      <c r="BB15" s="100"/>
      <c r="BC15" s="100"/>
      <c r="BD15" s="100"/>
      <c r="BE15" s="100"/>
      <c r="BF15" s="100"/>
      <c r="BG15" s="100"/>
      <c r="BH15" s="100"/>
      <c r="BI15" s="100"/>
      <c r="BJ15" s="100"/>
      <c r="BK15" s="100"/>
      <c r="BL15" s="100"/>
      <c r="BM15" s="100"/>
      <c r="BN15" s="100"/>
      <c r="BO15" s="100"/>
      <c r="BP15" s="100"/>
      <c r="BQ15" s="100"/>
      <c r="BR15" s="100">
        <v>0</v>
      </c>
      <c r="BS15" s="103">
        <v>0</v>
      </c>
      <c r="BT15" s="100">
        <v>0</v>
      </c>
      <c r="BU15" s="100"/>
      <c r="BV15" s="100"/>
      <c r="BW15" s="146" t="s">
        <v>177</v>
      </c>
    </row>
    <row r="16" spans="1:75" s="2" customFormat="1" x14ac:dyDescent="0.25">
      <c r="A16" s="73">
        <f t="shared" si="2"/>
        <v>28090.180000000004</v>
      </c>
      <c r="B16" s="97"/>
      <c r="C16" s="98" t="s">
        <v>176</v>
      </c>
      <c r="D16" s="98" t="s">
        <v>26</v>
      </c>
      <c r="E16" s="99" t="s">
        <v>70</v>
      </c>
      <c r="F16" s="126" t="s">
        <v>49</v>
      </c>
      <c r="G16" s="100"/>
      <c r="H16" s="100"/>
      <c r="I16" s="100"/>
      <c r="J16" s="100"/>
      <c r="K16" s="100"/>
      <c r="L16" s="100"/>
      <c r="M16" s="100"/>
      <c r="N16" s="100"/>
      <c r="O16" s="100"/>
      <c r="P16" s="100"/>
      <c r="Q16" s="100"/>
      <c r="R16" s="100"/>
      <c r="S16" s="100"/>
      <c r="T16" s="100"/>
      <c r="U16" s="100">
        <v>26</v>
      </c>
      <c r="V16" s="100"/>
      <c r="W16" s="100">
        <v>1819</v>
      </c>
      <c r="X16" s="100">
        <v>415</v>
      </c>
      <c r="Y16" s="100"/>
      <c r="Z16" s="100">
        <v>3356.66</v>
      </c>
      <c r="AA16" s="100"/>
      <c r="AB16" s="100">
        <v>632.11</v>
      </c>
      <c r="AC16" s="100">
        <v>324.26</v>
      </c>
      <c r="AD16" s="101">
        <v>0</v>
      </c>
      <c r="AE16" s="100">
        <v>1664</v>
      </c>
      <c r="AF16" s="100"/>
      <c r="AG16" s="100"/>
      <c r="AH16" s="100">
        <v>964.12</v>
      </c>
      <c r="AI16" s="100">
        <v>40.92</v>
      </c>
      <c r="AJ16" s="100">
        <v>788.36</v>
      </c>
      <c r="AK16" s="100">
        <v>167.52</v>
      </c>
      <c r="AL16" s="100">
        <v>5.2</v>
      </c>
      <c r="AM16" s="100">
        <v>762.27</v>
      </c>
      <c r="AN16" s="100">
        <v>3.45</v>
      </c>
      <c r="AO16" s="100"/>
      <c r="AP16" s="100"/>
      <c r="AQ16" s="100">
        <v>1698</v>
      </c>
      <c r="AR16" s="100">
        <v>1077</v>
      </c>
      <c r="AS16" s="100">
        <v>3987</v>
      </c>
      <c r="AT16" s="100">
        <v>2331</v>
      </c>
      <c r="AU16" s="100">
        <v>2479</v>
      </c>
      <c r="AV16" s="100">
        <v>1290</v>
      </c>
      <c r="AW16" s="100">
        <v>14</v>
      </c>
      <c r="AX16" s="100"/>
      <c r="AY16" s="100"/>
      <c r="AZ16" s="100">
        <v>1.87</v>
      </c>
      <c r="BA16" s="100"/>
      <c r="BB16" s="100"/>
      <c r="BC16" s="100"/>
      <c r="BD16" s="100"/>
      <c r="BE16" s="100"/>
      <c r="BF16" s="100"/>
      <c r="BG16" s="100">
        <v>8</v>
      </c>
      <c r="BH16" s="100"/>
      <c r="BI16" s="100"/>
      <c r="BJ16" s="100">
        <v>1246.98</v>
      </c>
      <c r="BK16" s="100">
        <v>1396.31</v>
      </c>
      <c r="BL16" s="100"/>
      <c r="BM16" s="100"/>
      <c r="BN16" s="100"/>
      <c r="BO16" s="100"/>
      <c r="BP16" s="100"/>
      <c r="BQ16" s="100"/>
      <c r="BR16" s="100">
        <v>77.540000000000006</v>
      </c>
      <c r="BS16" s="103">
        <v>1026.21</v>
      </c>
      <c r="BT16" s="100">
        <v>488.4</v>
      </c>
      <c r="BU16" s="100"/>
      <c r="BV16" s="100"/>
      <c r="BW16" s="146" t="s">
        <v>49</v>
      </c>
    </row>
    <row r="17" spans="1:75" s="2" customFormat="1" x14ac:dyDescent="0.25">
      <c r="A17" s="73">
        <f t="shared" si="2"/>
        <v>3025</v>
      </c>
      <c r="B17" s="97"/>
      <c r="C17" s="98" t="s">
        <v>175</v>
      </c>
      <c r="D17" s="98" t="s">
        <v>173</v>
      </c>
      <c r="E17" s="99" t="s">
        <v>157</v>
      </c>
      <c r="F17" s="126" t="s">
        <v>156</v>
      </c>
      <c r="G17" s="100"/>
      <c r="H17" s="100"/>
      <c r="I17" s="100"/>
      <c r="J17" s="100"/>
      <c r="K17" s="100"/>
      <c r="L17" s="100"/>
      <c r="M17" s="100"/>
      <c r="N17" s="101"/>
      <c r="O17" s="101"/>
      <c r="P17" s="101">
        <v>1094</v>
      </c>
      <c r="Q17" s="101"/>
      <c r="R17" s="101"/>
      <c r="S17" s="101"/>
      <c r="T17" s="101"/>
      <c r="U17" s="101"/>
      <c r="V17" s="101"/>
      <c r="W17" s="101">
        <v>86</v>
      </c>
      <c r="X17" s="101">
        <v>1845</v>
      </c>
      <c r="Y17" s="101"/>
      <c r="Z17" s="101"/>
      <c r="AA17" s="101"/>
      <c r="AB17" s="100"/>
      <c r="AC17" s="100"/>
      <c r="AD17" s="101">
        <v>0</v>
      </c>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v>0</v>
      </c>
      <c r="BS17" s="103">
        <v>0</v>
      </c>
      <c r="BT17" s="100">
        <v>0</v>
      </c>
      <c r="BU17" s="100"/>
      <c r="BV17" s="100"/>
      <c r="BW17" s="146" t="s">
        <v>156</v>
      </c>
    </row>
    <row r="18" spans="1:75" s="2" customFormat="1" x14ac:dyDescent="0.25">
      <c r="A18" s="73">
        <f t="shared" si="2"/>
        <v>26423.209999999992</v>
      </c>
      <c r="B18" s="97"/>
      <c r="C18" s="98" t="s">
        <v>176</v>
      </c>
      <c r="D18" s="98" t="s">
        <v>26</v>
      </c>
      <c r="E18" s="99" t="s">
        <v>71</v>
      </c>
      <c r="F18" s="126" t="s">
        <v>50</v>
      </c>
      <c r="G18" s="100"/>
      <c r="H18" s="100"/>
      <c r="I18" s="100"/>
      <c r="J18" s="100"/>
      <c r="K18" s="100"/>
      <c r="L18" s="100"/>
      <c r="M18" s="100"/>
      <c r="N18" s="100"/>
      <c r="O18" s="100"/>
      <c r="P18" s="100"/>
      <c r="Q18" s="100"/>
      <c r="R18" s="100"/>
      <c r="S18" s="100"/>
      <c r="T18" s="100">
        <v>3</v>
      </c>
      <c r="U18" s="100">
        <v>1533</v>
      </c>
      <c r="V18" s="100">
        <v>16</v>
      </c>
      <c r="W18" s="100">
        <v>889</v>
      </c>
      <c r="X18" s="100">
        <v>1510</v>
      </c>
      <c r="Y18" s="100">
        <v>45</v>
      </c>
      <c r="Z18" s="100">
        <v>555.32000000000005</v>
      </c>
      <c r="AA18" s="100">
        <v>3957.07</v>
      </c>
      <c r="AB18" s="100">
        <v>4</v>
      </c>
      <c r="AC18" s="100"/>
      <c r="AD18" s="101">
        <v>0</v>
      </c>
      <c r="AE18" s="100">
        <v>2394</v>
      </c>
      <c r="AF18" s="100">
        <v>2710</v>
      </c>
      <c r="AG18" s="100">
        <v>1268.74</v>
      </c>
      <c r="AH18" s="100">
        <v>13.39</v>
      </c>
      <c r="AI18" s="100">
        <v>691.58</v>
      </c>
      <c r="AJ18" s="100"/>
      <c r="AK18" s="100">
        <v>110.91</v>
      </c>
      <c r="AL18" s="100"/>
      <c r="AM18" s="100">
        <v>7.8</v>
      </c>
      <c r="AN18" s="100">
        <v>27.7</v>
      </c>
      <c r="AO18" s="100">
        <v>58.93</v>
      </c>
      <c r="AP18" s="100">
        <v>1116</v>
      </c>
      <c r="AQ18" s="100">
        <v>2176</v>
      </c>
      <c r="AR18" s="100"/>
      <c r="AS18" s="100">
        <v>1438</v>
      </c>
      <c r="AT18" s="100">
        <v>21</v>
      </c>
      <c r="AU18" s="100"/>
      <c r="AV18" s="100">
        <v>2507</v>
      </c>
      <c r="AW18" s="100">
        <v>26</v>
      </c>
      <c r="AX18" s="100"/>
      <c r="AY18" s="100"/>
      <c r="AZ18" s="100"/>
      <c r="BA18" s="100"/>
      <c r="BB18" s="100">
        <f>14</f>
        <v>14</v>
      </c>
      <c r="BC18" s="100">
        <v>42</v>
      </c>
      <c r="BD18" s="100">
        <v>146</v>
      </c>
      <c r="BE18" s="100">
        <v>147</v>
      </c>
      <c r="BF18" s="100">
        <v>34</v>
      </c>
      <c r="BG18" s="100">
        <f>229.05+126.05</f>
        <v>355.1</v>
      </c>
      <c r="BH18" s="100">
        <v>363</v>
      </c>
      <c r="BI18" s="100"/>
      <c r="BJ18" s="100"/>
      <c r="BK18" s="100"/>
      <c r="BL18" s="100"/>
      <c r="BM18" s="100">
        <f>106.73+611.37</f>
        <v>718.1</v>
      </c>
      <c r="BN18" s="100">
        <f>258.59+30.17</f>
        <v>288.76</v>
      </c>
      <c r="BO18" s="100">
        <v>390</v>
      </c>
      <c r="BP18" s="100">
        <v>488.78</v>
      </c>
      <c r="BQ18" s="100"/>
      <c r="BR18" s="100">
        <v>0</v>
      </c>
      <c r="BS18" s="103">
        <v>0</v>
      </c>
      <c r="BT18" s="100">
        <v>27.62</v>
      </c>
      <c r="BU18" s="100">
        <v>329.41</v>
      </c>
      <c r="BV18" s="100"/>
      <c r="BW18" s="146" t="s">
        <v>50</v>
      </c>
    </row>
    <row r="19" spans="1:75" s="2" customFormat="1" x14ac:dyDescent="0.25">
      <c r="A19" s="73">
        <f t="shared" si="2"/>
        <v>330872.95000000007</v>
      </c>
      <c r="B19" s="97"/>
      <c r="C19" s="98" t="s">
        <v>175</v>
      </c>
      <c r="D19" s="98" t="s">
        <v>27</v>
      </c>
      <c r="E19" s="99" t="s">
        <v>143</v>
      </c>
      <c r="F19" s="126" t="s">
        <v>51</v>
      </c>
      <c r="G19" s="100">
        <v>564</v>
      </c>
      <c r="H19" s="100">
        <v>187</v>
      </c>
      <c r="I19" s="100">
        <v>273</v>
      </c>
      <c r="J19" s="100">
        <v>121</v>
      </c>
      <c r="K19" s="100"/>
      <c r="L19" s="100"/>
      <c r="M19" s="100"/>
      <c r="N19" s="100"/>
      <c r="O19" s="100">
        <v>15</v>
      </c>
      <c r="P19" s="100"/>
      <c r="Q19" s="100"/>
      <c r="R19" s="100">
        <v>472</v>
      </c>
      <c r="S19" s="100">
        <v>1651</v>
      </c>
      <c r="T19" s="100">
        <v>53</v>
      </c>
      <c r="U19" s="100"/>
      <c r="V19" s="100">
        <v>906</v>
      </c>
      <c r="W19" s="100">
        <v>805</v>
      </c>
      <c r="X19" s="100"/>
      <c r="Y19" s="100">
        <v>12</v>
      </c>
      <c r="Z19" s="100">
        <v>2557</v>
      </c>
      <c r="AA19" s="100">
        <v>8415</v>
      </c>
      <c r="AB19" s="100">
        <v>1159</v>
      </c>
      <c r="AC19" s="100">
        <v>757.13</v>
      </c>
      <c r="AD19" s="101">
        <v>4477</v>
      </c>
      <c r="AE19" s="100">
        <v>7112</v>
      </c>
      <c r="AF19" s="100">
        <v>9423</v>
      </c>
      <c r="AG19" s="100"/>
      <c r="AH19" s="100">
        <v>8028</v>
      </c>
      <c r="AI19" s="100">
        <v>5845.31</v>
      </c>
      <c r="AJ19" s="100">
        <v>3207</v>
      </c>
      <c r="AK19" s="100">
        <v>2900</v>
      </c>
      <c r="AL19" s="100">
        <v>4405</v>
      </c>
      <c r="AM19" s="100">
        <v>4916</v>
      </c>
      <c r="AN19" s="100">
        <v>7904</v>
      </c>
      <c r="AO19" s="100">
        <v>9717</v>
      </c>
      <c r="AP19" s="100">
        <v>5813</v>
      </c>
      <c r="AQ19" s="100">
        <v>2043</v>
      </c>
      <c r="AR19" s="100">
        <f>948+8679</f>
        <v>9627</v>
      </c>
      <c r="AS19" s="100">
        <v>4167</v>
      </c>
      <c r="AT19" s="100">
        <v>3111</v>
      </c>
      <c r="AU19" s="100">
        <v>6143</v>
      </c>
      <c r="AV19" s="100">
        <v>5357</v>
      </c>
      <c r="AW19" s="100">
        <v>3579</v>
      </c>
      <c r="AX19" s="100">
        <v>1167</v>
      </c>
      <c r="AY19" s="100">
        <v>4897</v>
      </c>
      <c r="AZ19" s="100">
        <v>3285</v>
      </c>
      <c r="BA19" s="100">
        <v>5017</v>
      </c>
      <c r="BB19" s="100">
        <v>7988</v>
      </c>
      <c r="BC19" s="100">
        <f>214.45+701.5</f>
        <v>915.95</v>
      </c>
      <c r="BD19" s="100">
        <v>1722</v>
      </c>
      <c r="BE19" s="100">
        <v>1410</v>
      </c>
      <c r="BF19" s="100">
        <f>6033.19+2173.69</f>
        <v>8206.8799999999992</v>
      </c>
      <c r="BG19" s="100">
        <f>13474.63+2.03</f>
        <v>13476.66</v>
      </c>
      <c r="BH19" s="100">
        <v>12674</v>
      </c>
      <c r="BI19" s="100">
        <v>2841.18</v>
      </c>
      <c r="BJ19" s="100">
        <v>2181.2199999999998</v>
      </c>
      <c r="BK19" s="100">
        <f>17350.37+4440.11</f>
        <v>21790.48</v>
      </c>
      <c r="BL19" s="100">
        <f>4508.95+3711.72</f>
        <v>8220.67</v>
      </c>
      <c r="BM19" s="100">
        <v>8725.24</v>
      </c>
      <c r="BN19" s="100">
        <v>7946.74</v>
      </c>
      <c r="BO19" s="100">
        <f>6855+2475</f>
        <v>9330</v>
      </c>
      <c r="BP19" s="100">
        <f>8745.49+3419.12</f>
        <v>12164.61</v>
      </c>
      <c r="BQ19" s="100">
        <f>17924+368</f>
        <v>18292</v>
      </c>
      <c r="BR19" s="100">
        <f>13725.01+279.93</f>
        <v>14004.94</v>
      </c>
      <c r="BS19" s="103">
        <f>10899.88+1746.71</f>
        <v>12646.59</v>
      </c>
      <c r="BT19" s="100">
        <f>7685.81+1074.66</f>
        <v>8760.4700000000012</v>
      </c>
      <c r="BU19" s="100">
        <f>16101.5+1386.38</f>
        <v>17487.88</v>
      </c>
      <c r="BV19" s="100"/>
      <c r="BW19" s="146" t="s">
        <v>51</v>
      </c>
    </row>
    <row r="20" spans="1:75" s="39" customFormat="1" x14ac:dyDescent="0.25">
      <c r="A20" s="73">
        <f t="shared" si="2"/>
        <v>0</v>
      </c>
      <c r="B20" s="97"/>
      <c r="C20" s="98" t="s">
        <v>175</v>
      </c>
      <c r="D20" s="98" t="s">
        <v>27</v>
      </c>
      <c r="E20" s="99" t="s">
        <v>171</v>
      </c>
      <c r="F20" s="126" t="s">
        <v>170</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1">
        <v>0</v>
      </c>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v>0</v>
      </c>
      <c r="BS20" s="103">
        <v>0</v>
      </c>
      <c r="BT20" s="100">
        <v>0</v>
      </c>
      <c r="BU20" s="100"/>
      <c r="BV20" s="100"/>
      <c r="BW20" s="146" t="s">
        <v>170</v>
      </c>
    </row>
    <row r="21" spans="1:75" s="39" customFormat="1" x14ac:dyDescent="0.25">
      <c r="A21" s="73">
        <f t="shared" si="2"/>
        <v>430448.22400000022</v>
      </c>
      <c r="B21" s="97"/>
      <c r="C21" s="98" t="s">
        <v>200</v>
      </c>
      <c r="D21" s="98" t="s">
        <v>21</v>
      </c>
      <c r="E21" s="99" t="s">
        <v>66</v>
      </c>
      <c r="F21" s="126" t="s">
        <v>52</v>
      </c>
      <c r="G21" s="100">
        <v>11649</v>
      </c>
      <c r="H21" s="100">
        <v>6591</v>
      </c>
      <c r="I21" s="100">
        <v>2779</v>
      </c>
      <c r="J21" s="100">
        <v>2023</v>
      </c>
      <c r="K21" s="100">
        <v>2937</v>
      </c>
      <c r="L21" s="100">
        <v>3790</v>
      </c>
      <c r="M21" s="100">
        <v>2328</v>
      </c>
      <c r="N21" s="100">
        <v>913</v>
      </c>
      <c r="O21" s="100">
        <v>3531</v>
      </c>
      <c r="P21" s="100">
        <v>2012</v>
      </c>
      <c r="Q21" s="100">
        <v>4761</v>
      </c>
      <c r="R21" s="100">
        <v>4122</v>
      </c>
      <c r="S21" s="100">
        <v>7629</v>
      </c>
      <c r="T21" s="100">
        <v>3483</v>
      </c>
      <c r="U21" s="100">
        <v>5673</v>
      </c>
      <c r="V21" s="100">
        <v>6490</v>
      </c>
      <c r="W21" s="100">
        <v>18113</v>
      </c>
      <c r="X21" s="100">
        <v>1201</v>
      </c>
      <c r="Y21" s="100">
        <v>4521</v>
      </c>
      <c r="Z21" s="100">
        <v>6127.25</v>
      </c>
      <c r="AA21" s="100">
        <v>603.07000000000005</v>
      </c>
      <c r="AB21" s="100">
        <v>5270.08</v>
      </c>
      <c r="AC21" s="100">
        <v>5395.01</v>
      </c>
      <c r="AD21" s="101">
        <v>10771</v>
      </c>
      <c r="AE21" s="100">
        <v>8809</v>
      </c>
      <c r="AF21" s="100">
        <v>3317</v>
      </c>
      <c r="AG21" s="100">
        <v>10956.67</v>
      </c>
      <c r="AH21" s="100">
        <v>13319.43</v>
      </c>
      <c r="AI21" s="100">
        <v>13636.26</v>
      </c>
      <c r="AJ21" s="100">
        <v>7463.78</v>
      </c>
      <c r="AK21" s="100">
        <v>1964.66</v>
      </c>
      <c r="AL21" s="100">
        <v>17031.310000000001</v>
      </c>
      <c r="AM21" s="100">
        <v>2901.24</v>
      </c>
      <c r="AN21" s="100">
        <v>7298.5</v>
      </c>
      <c r="AO21" s="100">
        <v>10179.004000000001</v>
      </c>
      <c r="AP21" s="100">
        <v>6550</v>
      </c>
      <c r="AQ21" s="100">
        <v>12706</v>
      </c>
      <c r="AR21" s="100">
        <v>6482</v>
      </c>
      <c r="AS21" s="100">
        <v>2234</v>
      </c>
      <c r="AT21" s="100">
        <v>1580</v>
      </c>
      <c r="AU21" s="100">
        <v>3941</v>
      </c>
      <c r="AV21" s="100">
        <v>3667</v>
      </c>
      <c r="AW21" s="100">
        <v>1811</v>
      </c>
      <c r="AX21" s="100">
        <v>4331</v>
      </c>
      <c r="AY21" s="100">
        <v>408</v>
      </c>
      <c r="AZ21" s="100">
        <v>408</v>
      </c>
      <c r="BA21" s="100">
        <v>3014</v>
      </c>
      <c r="BB21" s="100">
        <v>836</v>
      </c>
      <c r="BC21" s="100">
        <v>854</v>
      </c>
      <c r="BD21" s="100">
        <v>2162</v>
      </c>
      <c r="BE21" s="100">
        <v>8836</v>
      </c>
      <c r="BF21" s="100">
        <f>4324.09+2777.17</f>
        <v>7101.26</v>
      </c>
      <c r="BG21" s="100">
        <f>3245.5+2599.02</f>
        <v>5844.52</v>
      </c>
      <c r="BH21" s="100">
        <v>4805</v>
      </c>
      <c r="BI21" s="100">
        <f>9312.74+448.29</f>
        <v>9761.0300000000007</v>
      </c>
      <c r="BJ21" s="100">
        <v>3935.32</v>
      </c>
      <c r="BK21" s="100">
        <v>12247.03</v>
      </c>
      <c r="BL21" s="100">
        <v>7415.78</v>
      </c>
      <c r="BM21" s="100">
        <v>4553.82</v>
      </c>
      <c r="BN21" s="100">
        <f>6839.13+2675.01</f>
        <v>9514.14</v>
      </c>
      <c r="BO21" s="100">
        <f>7057+4067</f>
        <v>11124</v>
      </c>
      <c r="BP21" s="100">
        <f>6617.93+212.71</f>
        <v>6830.64</v>
      </c>
      <c r="BQ21" s="100">
        <f>10388+203</f>
        <v>10591</v>
      </c>
      <c r="BR21" s="100">
        <v>24644.720000000001</v>
      </c>
      <c r="BS21" s="103">
        <v>13740.77</v>
      </c>
      <c r="BT21" s="100">
        <f>8482.6+2498.11</f>
        <v>10980.710000000001</v>
      </c>
      <c r="BU21" s="100">
        <f>4534.43+3414.79</f>
        <v>7949.22</v>
      </c>
      <c r="BV21" s="100"/>
      <c r="BW21" s="146" t="s">
        <v>52</v>
      </c>
    </row>
    <row r="22" spans="1:75" s="2" customFormat="1" x14ac:dyDescent="0.25">
      <c r="A22" s="73">
        <f t="shared" si="2"/>
        <v>574653.24999999977</v>
      </c>
      <c r="B22" s="97"/>
      <c r="C22" s="98" t="s">
        <v>200</v>
      </c>
      <c r="D22" s="98" t="s">
        <v>20</v>
      </c>
      <c r="E22" s="99" t="s">
        <v>61</v>
      </c>
      <c r="F22" s="126" t="s">
        <v>53</v>
      </c>
      <c r="G22" s="100">
        <v>0</v>
      </c>
      <c r="H22" s="100">
        <v>65</v>
      </c>
      <c r="I22" s="100">
        <v>518</v>
      </c>
      <c r="J22" s="100">
        <v>0</v>
      </c>
      <c r="K22" s="100">
        <v>0</v>
      </c>
      <c r="L22" s="100">
        <v>337</v>
      </c>
      <c r="M22" s="100">
        <v>1625</v>
      </c>
      <c r="N22" s="100">
        <v>2454</v>
      </c>
      <c r="O22" s="100">
        <v>3877</v>
      </c>
      <c r="P22" s="100">
        <v>9901</v>
      </c>
      <c r="Q22" s="100">
        <v>6164</v>
      </c>
      <c r="R22" s="100">
        <v>5677</v>
      </c>
      <c r="S22" s="100">
        <v>4533</v>
      </c>
      <c r="T22" s="100">
        <v>5742</v>
      </c>
      <c r="U22" s="100">
        <v>2526</v>
      </c>
      <c r="V22" s="100">
        <v>9618</v>
      </c>
      <c r="W22" s="100">
        <v>4377</v>
      </c>
      <c r="X22" s="100">
        <v>435</v>
      </c>
      <c r="Y22" s="100">
        <v>108</v>
      </c>
      <c r="Z22" s="100">
        <v>4876.8500000000004</v>
      </c>
      <c r="AA22" s="100">
        <v>9414.6200000000008</v>
      </c>
      <c r="AB22" s="100">
        <v>9406.0400000000009</v>
      </c>
      <c r="AC22" s="100">
        <v>10615.89</v>
      </c>
      <c r="AD22" s="101">
        <v>24612</v>
      </c>
      <c r="AE22" s="100">
        <v>6851</v>
      </c>
      <c r="AF22" s="100">
        <v>16014</v>
      </c>
      <c r="AG22" s="100">
        <v>9072.08</v>
      </c>
      <c r="AH22" s="100">
        <v>11558.67</v>
      </c>
      <c r="AI22" s="100">
        <v>15496.39</v>
      </c>
      <c r="AJ22" s="100">
        <v>21819.83</v>
      </c>
      <c r="AK22" s="100">
        <v>17285.599999999999</v>
      </c>
      <c r="AL22" s="100">
        <v>3607.31</v>
      </c>
      <c r="AM22" s="100">
        <v>7728.65</v>
      </c>
      <c r="AN22" s="100">
        <v>1510.39</v>
      </c>
      <c r="AO22" s="100">
        <v>9323.27</v>
      </c>
      <c r="AP22" s="100">
        <v>23869</v>
      </c>
      <c r="AQ22" s="100">
        <v>15599</v>
      </c>
      <c r="AR22" s="100">
        <v>18877</v>
      </c>
      <c r="AS22" s="100">
        <v>17016</v>
      </c>
      <c r="AT22" s="100">
        <v>14382</v>
      </c>
      <c r="AU22" s="100">
        <v>28539</v>
      </c>
      <c r="AV22" s="100">
        <v>12836</v>
      </c>
      <c r="AW22" s="100">
        <v>12445</v>
      </c>
      <c r="AX22" s="100">
        <v>22478</v>
      </c>
      <c r="AY22" s="100">
        <v>6011</v>
      </c>
      <c r="AZ22" s="100">
        <v>5158</v>
      </c>
      <c r="BA22" s="100">
        <v>8863</v>
      </c>
      <c r="BB22" s="100">
        <v>8764</v>
      </c>
      <c r="BC22" s="100">
        <f>6363.42+709.62</f>
        <v>7073.04</v>
      </c>
      <c r="BD22" s="100">
        <f>11160+484</f>
        <v>11644</v>
      </c>
      <c r="BE22" s="100">
        <v>16289</v>
      </c>
      <c r="BF22" s="100">
        <f>6200.68+1446.82</f>
        <v>7647.5</v>
      </c>
      <c r="BG22" s="100">
        <f>356.5+693.85</f>
        <v>1050.3499999999999</v>
      </c>
      <c r="BH22" s="100">
        <v>9058</v>
      </c>
      <c r="BI22" s="100">
        <f>4336.03+1322.84</f>
        <v>5658.87</v>
      </c>
      <c r="BJ22" s="100">
        <f>3642.04+837.38</f>
        <v>4479.42</v>
      </c>
      <c r="BK22" s="100">
        <f>8259.53+2519.95</f>
        <v>10779.48</v>
      </c>
      <c r="BL22" s="100">
        <f>6724.59+1340.95</f>
        <v>8065.54</v>
      </c>
      <c r="BM22" s="100">
        <f>1653.71+467.47</f>
        <v>2121.1800000000003</v>
      </c>
      <c r="BN22" s="100">
        <f>5430.54+794.87</f>
        <v>6225.41</v>
      </c>
      <c r="BO22" s="100">
        <f>4914+1890</f>
        <v>6804</v>
      </c>
      <c r="BP22" s="100">
        <f>6158.07+3984.05</f>
        <v>10142.119999999999</v>
      </c>
      <c r="BQ22" s="100">
        <f>884+1402</f>
        <v>2286</v>
      </c>
      <c r="BR22" s="100">
        <f>11930.85+1672.61</f>
        <v>13603.460000000001</v>
      </c>
      <c r="BS22" s="103">
        <f>5497.73+468.46</f>
        <v>5966.19</v>
      </c>
      <c r="BT22" s="100">
        <f>1864.92+890.92</f>
        <v>2755.84</v>
      </c>
      <c r="BU22" s="100">
        <f>10555.65+461.61</f>
        <v>11017.26</v>
      </c>
      <c r="BV22" s="100"/>
      <c r="BW22" s="146" t="s">
        <v>53</v>
      </c>
    </row>
    <row r="23" spans="1:75" s="2" customFormat="1" x14ac:dyDescent="0.25">
      <c r="A23" s="73">
        <f t="shared" si="2"/>
        <v>475999.52</v>
      </c>
      <c r="B23" s="97"/>
      <c r="C23" s="98" t="s">
        <v>200</v>
      </c>
      <c r="D23" s="98" t="s">
        <v>41</v>
      </c>
      <c r="E23" s="99" t="s">
        <v>64</v>
      </c>
      <c r="F23" s="126" t="s">
        <v>54</v>
      </c>
      <c r="G23" s="100">
        <v>541</v>
      </c>
      <c r="H23" s="100">
        <v>3210</v>
      </c>
      <c r="I23" s="100">
        <v>11345</v>
      </c>
      <c r="J23" s="100">
        <v>7709</v>
      </c>
      <c r="K23" s="100">
        <v>3157</v>
      </c>
      <c r="L23" s="100">
        <v>4116</v>
      </c>
      <c r="M23" s="100">
        <v>2449</v>
      </c>
      <c r="N23" s="100">
        <v>736</v>
      </c>
      <c r="O23" s="100">
        <v>7303</v>
      </c>
      <c r="P23" s="100">
        <v>1856</v>
      </c>
      <c r="Q23" s="100">
        <v>1318</v>
      </c>
      <c r="R23" s="100">
        <v>3646</v>
      </c>
      <c r="S23" s="100">
        <v>1246</v>
      </c>
      <c r="T23" s="100">
        <v>302</v>
      </c>
      <c r="U23" s="100">
        <v>517</v>
      </c>
      <c r="V23" s="100">
        <v>4759</v>
      </c>
      <c r="W23" s="100">
        <v>3981</v>
      </c>
      <c r="X23" s="100">
        <v>10959</v>
      </c>
      <c r="Y23" s="100">
        <v>1627</v>
      </c>
      <c r="Z23" s="100">
        <v>3291.75</v>
      </c>
      <c r="AA23" s="100">
        <v>1443.63</v>
      </c>
      <c r="AB23" s="100">
        <v>3252.9</v>
      </c>
      <c r="AC23" s="100">
        <v>1497.39</v>
      </c>
      <c r="AD23" s="101">
        <v>7405</v>
      </c>
      <c r="AE23" s="100">
        <v>8919</v>
      </c>
      <c r="AF23" s="100">
        <v>10669</v>
      </c>
      <c r="AG23" s="100">
        <v>9172.52</v>
      </c>
      <c r="AH23" s="100">
        <v>10387.66</v>
      </c>
      <c r="AI23" s="100">
        <v>11562.62</v>
      </c>
      <c r="AJ23" s="100">
        <v>8952.19</v>
      </c>
      <c r="AK23" s="100">
        <v>5908.09</v>
      </c>
      <c r="AL23" s="100">
        <v>9563.75</v>
      </c>
      <c r="AM23" s="100">
        <v>14086.94</v>
      </c>
      <c r="AN23" s="100">
        <v>11588.51</v>
      </c>
      <c r="AO23" s="100">
        <v>7029.01</v>
      </c>
      <c r="AP23" s="100">
        <v>6420</v>
      </c>
      <c r="AQ23" s="100">
        <v>2875</v>
      </c>
      <c r="AR23" s="100">
        <v>5283</v>
      </c>
      <c r="AS23" s="100">
        <v>9735</v>
      </c>
      <c r="AT23" s="100">
        <v>6302</v>
      </c>
      <c r="AU23" s="100">
        <v>1540</v>
      </c>
      <c r="AV23" s="100">
        <v>1378</v>
      </c>
      <c r="AW23" s="100">
        <v>3160</v>
      </c>
      <c r="AX23" s="100">
        <v>5939</v>
      </c>
      <c r="AY23" s="100">
        <v>3479</v>
      </c>
      <c r="AZ23" s="100">
        <v>1821</v>
      </c>
      <c r="BA23" s="100">
        <v>2364</v>
      </c>
      <c r="BB23" s="100">
        <v>2041</v>
      </c>
      <c r="BC23" s="100">
        <v>4084</v>
      </c>
      <c r="BD23" s="100">
        <v>9497</v>
      </c>
      <c r="BE23" s="100">
        <v>14137</v>
      </c>
      <c r="BF23" s="100">
        <v>15320.55</v>
      </c>
      <c r="BG23" s="100">
        <f>12818.28+51.56</f>
        <v>12869.84</v>
      </c>
      <c r="BH23" s="100">
        <v>15992</v>
      </c>
      <c r="BI23" s="100">
        <f>13631.04+24.82</f>
        <v>13655.86</v>
      </c>
      <c r="BJ23" s="100">
        <v>15135.33</v>
      </c>
      <c r="BK23" s="100">
        <v>23620.57</v>
      </c>
      <c r="BL23" s="100">
        <v>8102.61</v>
      </c>
      <c r="BM23" s="100">
        <v>9113.8799999999992</v>
      </c>
      <c r="BN23" s="100">
        <v>10169.290000000001</v>
      </c>
      <c r="BO23" s="100">
        <v>8032</v>
      </c>
      <c r="BP23" s="100">
        <v>16491.599999999999</v>
      </c>
      <c r="BQ23" s="100">
        <v>13305</v>
      </c>
      <c r="BR23" s="100">
        <v>1173.45</v>
      </c>
      <c r="BS23" s="103">
        <v>4164.42</v>
      </c>
      <c r="BT23" s="100">
        <v>20560.330000000002</v>
      </c>
      <c r="BU23" s="100">
        <v>12730.83</v>
      </c>
      <c r="BV23" s="100"/>
      <c r="BW23" s="146" t="s">
        <v>54</v>
      </c>
    </row>
    <row r="24" spans="1:75" s="2" customFormat="1" x14ac:dyDescent="0.25">
      <c r="A24" s="73">
        <f t="shared" si="2"/>
        <v>0</v>
      </c>
      <c r="B24" s="97"/>
      <c r="C24" s="98" t="s">
        <v>175</v>
      </c>
      <c r="D24" s="98" t="s">
        <v>173</v>
      </c>
      <c r="E24" s="99" t="s">
        <v>159</v>
      </c>
      <c r="F24" s="126" t="s">
        <v>158</v>
      </c>
      <c r="G24" s="100"/>
      <c r="H24" s="100"/>
      <c r="I24" s="100"/>
      <c r="J24" s="100"/>
      <c r="K24" s="100"/>
      <c r="L24" s="100"/>
      <c r="M24" s="100"/>
      <c r="N24" s="101"/>
      <c r="O24" s="101"/>
      <c r="P24" s="101"/>
      <c r="Q24" s="101"/>
      <c r="R24" s="101"/>
      <c r="S24" s="101"/>
      <c r="T24" s="101"/>
      <c r="U24" s="101"/>
      <c r="V24" s="101"/>
      <c r="W24" s="101"/>
      <c r="X24" s="101"/>
      <c r="Y24" s="101"/>
      <c r="Z24" s="101"/>
      <c r="AA24" s="101"/>
      <c r="AB24" s="100"/>
      <c r="AC24" s="100"/>
      <c r="AD24" s="101">
        <v>0</v>
      </c>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v>0</v>
      </c>
      <c r="BS24" s="103">
        <v>0</v>
      </c>
      <c r="BT24" s="100">
        <v>0</v>
      </c>
      <c r="BU24" s="100"/>
      <c r="BV24" s="100"/>
      <c r="BW24" s="146" t="s">
        <v>158</v>
      </c>
    </row>
    <row r="25" spans="1:75" s="2" customFormat="1" x14ac:dyDescent="0.25">
      <c r="A25" s="73">
        <f t="shared" si="2"/>
        <v>428261.6</v>
      </c>
      <c r="B25" s="97"/>
      <c r="C25" s="98" t="s">
        <v>200</v>
      </c>
      <c r="D25" s="98" t="s">
        <v>41</v>
      </c>
      <c r="E25" s="99" t="s">
        <v>65</v>
      </c>
      <c r="F25" s="126" t="s">
        <v>55</v>
      </c>
      <c r="G25" s="100">
        <v>1321</v>
      </c>
      <c r="H25" s="100">
        <v>2422</v>
      </c>
      <c r="I25" s="100">
        <v>9607</v>
      </c>
      <c r="J25" s="100">
        <v>3730</v>
      </c>
      <c r="K25" s="100">
        <v>15084</v>
      </c>
      <c r="L25" s="100">
        <v>23084</v>
      </c>
      <c r="M25" s="100">
        <v>2548</v>
      </c>
      <c r="N25" s="100">
        <v>112</v>
      </c>
      <c r="O25" s="100">
        <v>502</v>
      </c>
      <c r="P25" s="100">
        <v>2772</v>
      </c>
      <c r="Q25" s="100">
        <v>6727</v>
      </c>
      <c r="R25" s="100">
        <v>6649</v>
      </c>
      <c r="S25" s="100">
        <v>2438</v>
      </c>
      <c r="T25" s="100">
        <v>4660</v>
      </c>
      <c r="U25" s="100">
        <v>15206</v>
      </c>
      <c r="V25" s="100">
        <v>5345</v>
      </c>
      <c r="W25" s="100">
        <v>4396</v>
      </c>
      <c r="X25" s="100">
        <v>7440</v>
      </c>
      <c r="Y25" s="100">
        <v>898</v>
      </c>
      <c r="Z25" s="100">
        <v>8385.7000000000007</v>
      </c>
      <c r="AA25" s="100">
        <v>4773.7</v>
      </c>
      <c r="AB25" s="100">
        <v>13938.3</v>
      </c>
      <c r="AC25" s="100">
        <v>1136.8499999999999</v>
      </c>
      <c r="AD25" s="101">
        <v>6284</v>
      </c>
      <c r="AE25" s="100">
        <v>1289</v>
      </c>
      <c r="AF25" s="100">
        <v>4983</v>
      </c>
      <c r="AG25" s="100">
        <v>6459.82</v>
      </c>
      <c r="AH25" s="100">
        <v>8917.57</v>
      </c>
      <c r="AI25" s="100">
        <v>9880.15</v>
      </c>
      <c r="AJ25" s="100">
        <v>10817.64</v>
      </c>
      <c r="AK25" s="100">
        <v>7719.01</v>
      </c>
      <c r="AL25" s="100">
        <v>2542.86</v>
      </c>
      <c r="AM25" s="100">
        <v>12407.21</v>
      </c>
      <c r="AN25" s="100">
        <v>6023.16</v>
      </c>
      <c r="AO25" s="100">
        <v>10082.18</v>
      </c>
      <c r="AP25" s="100">
        <v>10103</v>
      </c>
      <c r="AQ25" s="100">
        <v>9488</v>
      </c>
      <c r="AR25" s="100">
        <v>14322</v>
      </c>
      <c r="AS25" s="100">
        <v>8867</v>
      </c>
      <c r="AT25" s="100">
        <v>1920</v>
      </c>
      <c r="AU25" s="100">
        <v>4948</v>
      </c>
      <c r="AV25" s="100">
        <v>5020</v>
      </c>
      <c r="AW25" s="100">
        <v>1757</v>
      </c>
      <c r="AX25" s="100">
        <v>5034</v>
      </c>
      <c r="AY25" s="100">
        <v>2416</v>
      </c>
      <c r="AZ25" s="100">
        <v>1020</v>
      </c>
      <c r="BA25" s="100">
        <v>10055</v>
      </c>
      <c r="BB25" s="100">
        <v>5115</v>
      </c>
      <c r="BC25" s="100">
        <v>2109</v>
      </c>
      <c r="BD25" s="100">
        <v>5603</v>
      </c>
      <c r="BE25" s="100">
        <v>7186</v>
      </c>
      <c r="BF25" s="100">
        <v>3627</v>
      </c>
      <c r="BG25" s="100">
        <v>946</v>
      </c>
      <c r="BH25" s="100">
        <v>1264</v>
      </c>
      <c r="BI25" s="100">
        <v>4720.8</v>
      </c>
      <c r="BJ25" s="100">
        <v>5467.19</v>
      </c>
      <c r="BK25" s="100">
        <v>10147.94</v>
      </c>
      <c r="BL25" s="100">
        <f>15682.11+480.78</f>
        <v>16162.890000000001</v>
      </c>
      <c r="BM25" s="100">
        <f>13078.05+17.9</f>
        <v>13095.949999999999</v>
      </c>
      <c r="BN25" s="100">
        <f>5612.23+147.45</f>
        <v>5759.6799999999994</v>
      </c>
      <c r="BO25" s="100">
        <f>6635+197</f>
        <v>6832</v>
      </c>
      <c r="BP25" s="100">
        <v>5583.22</v>
      </c>
      <c r="BQ25" s="100">
        <v>12698</v>
      </c>
      <c r="BR25" s="100">
        <v>9118.18</v>
      </c>
      <c r="BS25" s="103">
        <f>242.3+1064</f>
        <v>1306.3</v>
      </c>
      <c r="BT25" s="100">
        <v>1595.96</v>
      </c>
      <c r="BU25" s="100">
        <f>3942.08+450.26</f>
        <v>4392.34</v>
      </c>
      <c r="BV25" s="100"/>
      <c r="BW25" s="146" t="s">
        <v>55</v>
      </c>
    </row>
    <row r="26" spans="1:75" s="39" customFormat="1" x14ac:dyDescent="0.25">
      <c r="A26" s="73">
        <f t="shared" si="2"/>
        <v>220</v>
      </c>
      <c r="B26" s="97"/>
      <c r="C26" s="98" t="s">
        <v>175</v>
      </c>
      <c r="D26" s="98" t="s">
        <v>173</v>
      </c>
      <c r="E26" s="99" t="s">
        <v>161</v>
      </c>
      <c r="F26" s="126" t="s">
        <v>201</v>
      </c>
      <c r="G26" s="100"/>
      <c r="H26" s="100"/>
      <c r="I26" s="100"/>
      <c r="J26" s="100"/>
      <c r="K26" s="100"/>
      <c r="L26" s="100"/>
      <c r="M26" s="100"/>
      <c r="N26" s="101"/>
      <c r="O26" s="101"/>
      <c r="P26" s="101"/>
      <c r="Q26" s="101"/>
      <c r="R26" s="101"/>
      <c r="S26" s="101"/>
      <c r="T26" s="101"/>
      <c r="U26" s="101"/>
      <c r="V26" s="101"/>
      <c r="W26" s="101"/>
      <c r="X26" s="101"/>
      <c r="Y26" s="101">
        <v>220</v>
      </c>
      <c r="Z26" s="101"/>
      <c r="AA26" s="101"/>
      <c r="AB26" s="100"/>
      <c r="AC26" s="100"/>
      <c r="AD26" s="101">
        <v>0</v>
      </c>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v>0</v>
      </c>
      <c r="BS26" s="103">
        <v>0</v>
      </c>
      <c r="BT26" s="100">
        <v>0</v>
      </c>
      <c r="BU26" s="100"/>
      <c r="BV26" s="100"/>
      <c r="BW26" s="146" t="s">
        <v>160</v>
      </c>
    </row>
    <row r="27" spans="1:75" s="2" customFormat="1" x14ac:dyDescent="0.25">
      <c r="A27" s="73">
        <f t="shared" si="2"/>
        <v>243267.951</v>
      </c>
      <c r="B27" s="97"/>
      <c r="C27" s="98" t="s">
        <v>200</v>
      </c>
      <c r="D27" s="98" t="s">
        <v>20</v>
      </c>
      <c r="E27" s="99" t="s">
        <v>62</v>
      </c>
      <c r="F27" s="126" t="s">
        <v>56</v>
      </c>
      <c r="G27" s="100">
        <v>26</v>
      </c>
      <c r="H27" s="100"/>
      <c r="I27" s="100"/>
      <c r="J27" s="100"/>
      <c r="K27" s="100"/>
      <c r="L27" s="100">
        <v>105</v>
      </c>
      <c r="M27" s="100">
        <v>4037</v>
      </c>
      <c r="N27" s="100">
        <v>4063</v>
      </c>
      <c r="O27" s="100">
        <v>388</v>
      </c>
      <c r="P27" s="100">
        <v>1884</v>
      </c>
      <c r="Q27" s="100">
        <v>182</v>
      </c>
      <c r="R27" s="100">
        <v>159</v>
      </c>
      <c r="S27" s="100">
        <v>2161</v>
      </c>
      <c r="T27" s="100">
        <v>835</v>
      </c>
      <c r="U27" s="100">
        <v>3015</v>
      </c>
      <c r="V27" s="100">
        <v>4969</v>
      </c>
      <c r="W27" s="100">
        <v>3410</v>
      </c>
      <c r="X27" s="100">
        <v>4446</v>
      </c>
      <c r="Y27" s="100">
        <v>2807</v>
      </c>
      <c r="Z27" s="100">
        <v>3398.69</v>
      </c>
      <c r="AA27" s="100">
        <v>5071.88</v>
      </c>
      <c r="AB27" s="100">
        <v>949.44</v>
      </c>
      <c r="AC27" s="100">
        <v>8833.17</v>
      </c>
      <c r="AD27" s="101">
        <v>19029</v>
      </c>
      <c r="AE27" s="100">
        <v>9195</v>
      </c>
      <c r="AF27" s="100">
        <v>499</v>
      </c>
      <c r="AG27" s="100">
        <v>5351.44</v>
      </c>
      <c r="AH27" s="100">
        <v>7313.73</v>
      </c>
      <c r="AI27" s="100">
        <v>6038.35</v>
      </c>
      <c r="AJ27" s="100">
        <v>6314.87</v>
      </c>
      <c r="AK27" s="100">
        <v>4311.68</v>
      </c>
      <c r="AL27" s="100">
        <v>3115.64</v>
      </c>
      <c r="AM27" s="100">
        <v>3895.44</v>
      </c>
      <c r="AN27" s="100">
        <v>4059.66</v>
      </c>
      <c r="AO27" s="100">
        <v>1653.1510000000001</v>
      </c>
      <c r="AP27" s="100">
        <v>9697</v>
      </c>
      <c r="AQ27" s="100">
        <v>9357</v>
      </c>
      <c r="AR27" s="100">
        <v>10869</v>
      </c>
      <c r="AS27" s="100">
        <v>19723</v>
      </c>
      <c r="AT27" s="100">
        <v>3853</v>
      </c>
      <c r="AU27" s="100">
        <v>12081</v>
      </c>
      <c r="AV27" s="100">
        <v>10150</v>
      </c>
      <c r="AW27" s="100">
        <v>2118</v>
      </c>
      <c r="AX27" s="100">
        <v>3578</v>
      </c>
      <c r="AY27" s="100">
        <v>2658</v>
      </c>
      <c r="AZ27" s="100">
        <v>2658</v>
      </c>
      <c r="BA27" s="100">
        <v>140</v>
      </c>
      <c r="BB27" s="100">
        <v>1</v>
      </c>
      <c r="BC27" s="100">
        <v>4178</v>
      </c>
      <c r="BD27" s="100">
        <v>833</v>
      </c>
      <c r="BE27" s="100">
        <v>3698</v>
      </c>
      <c r="BF27" s="100">
        <v>2099</v>
      </c>
      <c r="BG27" s="100">
        <f>1254.18+374.63</f>
        <v>1628.81</v>
      </c>
      <c r="BH27" s="100">
        <v>1227</v>
      </c>
      <c r="BI27" s="100">
        <f>3455.91+1586.85</f>
        <v>5042.76</v>
      </c>
      <c r="BJ27" s="100">
        <f>880.44+204.21</f>
        <v>1084.6500000000001</v>
      </c>
      <c r="BK27" s="100">
        <f>1167.3+14.26</f>
        <v>1181.56</v>
      </c>
      <c r="BL27" s="100">
        <f>2075.98+410.33</f>
        <v>2486.31</v>
      </c>
      <c r="BM27" s="100">
        <f>2059.45+484.89</f>
        <v>2544.3399999999997</v>
      </c>
      <c r="BN27" s="100">
        <f>916.6+297.22</f>
        <v>1213.8200000000002</v>
      </c>
      <c r="BO27" s="100"/>
      <c r="BP27" s="100">
        <f>628.41+12.82</f>
        <v>641.23</v>
      </c>
      <c r="BQ27" s="100">
        <f>1527+17</f>
        <v>1544</v>
      </c>
      <c r="BR27" s="100">
        <v>236.68</v>
      </c>
      <c r="BS27" s="103">
        <f>1750.57+765.38</f>
        <v>2515.9499999999998</v>
      </c>
      <c r="BT27" s="102">
        <f>1438.73+83.13</f>
        <v>1521.8600000000001</v>
      </c>
      <c r="BU27" s="102">
        <f>670.32+520.52</f>
        <v>1190.8400000000001</v>
      </c>
      <c r="BV27" s="102"/>
      <c r="BW27" s="146" t="s">
        <v>56</v>
      </c>
    </row>
    <row r="28" spans="1:75" s="249" customFormat="1" x14ac:dyDescent="0.25">
      <c r="A28" s="234">
        <f t="shared" si="2"/>
        <v>6986200.2690000031</v>
      </c>
      <c r="B28" s="243" t="s">
        <v>141</v>
      </c>
      <c r="C28" s="244" t="s">
        <v>202</v>
      </c>
      <c r="D28" s="244" t="s">
        <v>138</v>
      </c>
      <c r="E28" s="245" t="s">
        <v>40</v>
      </c>
      <c r="F28" s="246" t="s">
        <v>57</v>
      </c>
      <c r="G28" s="247">
        <f>46571+583756</f>
        <v>630327</v>
      </c>
      <c r="H28" s="247">
        <f>30268+677434</f>
        <v>707702</v>
      </c>
      <c r="I28" s="247">
        <f>30209+564442</f>
        <v>594651</v>
      </c>
      <c r="J28" s="247">
        <f>24589+518502</f>
        <v>543091</v>
      </c>
      <c r="K28" s="247">
        <f>5495+446580</f>
        <v>452075</v>
      </c>
      <c r="L28" s="247">
        <f>26445+379681</f>
        <v>406126</v>
      </c>
      <c r="M28" s="247">
        <f>49415+321492</f>
        <v>370907</v>
      </c>
      <c r="N28" s="247">
        <f>20020+265596</f>
        <v>285616</v>
      </c>
      <c r="O28" s="247">
        <f>23823+199399</f>
        <v>223222</v>
      </c>
      <c r="P28" s="247">
        <v>74663</v>
      </c>
      <c r="Q28" s="247">
        <f>49209+12582</f>
        <v>61791</v>
      </c>
      <c r="R28" s="247">
        <v>73053</v>
      </c>
      <c r="S28" s="247">
        <v>55903</v>
      </c>
      <c r="T28" s="247">
        <v>51474</v>
      </c>
      <c r="U28" s="247">
        <v>63603</v>
      </c>
      <c r="V28" s="247">
        <v>61008</v>
      </c>
      <c r="W28" s="247">
        <v>38594</v>
      </c>
      <c r="X28" s="247">
        <v>32399</v>
      </c>
      <c r="Y28" s="247">
        <v>33182</v>
      </c>
      <c r="Z28" s="247">
        <v>49745.279999999999</v>
      </c>
      <c r="AA28" s="247">
        <v>43504.87</v>
      </c>
      <c r="AB28" s="247">
        <v>29570.38</v>
      </c>
      <c r="AC28" s="247">
        <v>28260.04</v>
      </c>
      <c r="AD28" s="247">
        <v>36095</v>
      </c>
      <c r="AE28" s="247">
        <v>58362</v>
      </c>
      <c r="AF28" s="247">
        <v>31876</v>
      </c>
      <c r="AG28" s="247">
        <v>34301.01</v>
      </c>
      <c r="AH28" s="247">
        <v>24458.880000000001</v>
      </c>
      <c r="AI28" s="247">
        <v>41156.42</v>
      </c>
      <c r="AJ28" s="247">
        <v>14764.11</v>
      </c>
      <c r="AK28" s="247">
        <v>27210.93</v>
      </c>
      <c r="AL28" s="247">
        <v>28904.91</v>
      </c>
      <c r="AM28" s="247">
        <v>37026.68</v>
      </c>
      <c r="AN28" s="247">
        <v>23086.17</v>
      </c>
      <c r="AO28" s="247">
        <v>51593.845999999998</v>
      </c>
      <c r="AP28" s="247">
        <v>26875</v>
      </c>
      <c r="AQ28" s="247">
        <v>29741</v>
      </c>
      <c r="AR28" s="247">
        <v>29487</v>
      </c>
      <c r="AS28" s="247">
        <v>20427</v>
      </c>
      <c r="AT28" s="247">
        <v>51991</v>
      </c>
      <c r="AU28" s="247">
        <v>31464</v>
      </c>
      <c r="AV28" s="247">
        <v>19050</v>
      </c>
      <c r="AW28" s="247">
        <v>21454</v>
      </c>
      <c r="AX28" s="247">
        <v>27803</v>
      </c>
      <c r="AY28" s="247">
        <v>18938</v>
      </c>
      <c r="AZ28" s="247">
        <v>22744</v>
      </c>
      <c r="BA28" s="247">
        <v>21832</v>
      </c>
      <c r="BB28" s="247">
        <v>18867</v>
      </c>
      <c r="BC28" s="247">
        <f>41645.79+420.25</f>
        <v>42066.04</v>
      </c>
      <c r="BD28" s="247">
        <f>36477.62+47.32</f>
        <v>36524.94</v>
      </c>
      <c r="BE28" s="247">
        <v>51917</v>
      </c>
      <c r="BF28" s="247">
        <v>69217</v>
      </c>
      <c r="BG28" s="247">
        <f>55907.66+145.41</f>
        <v>56053.070000000007</v>
      </c>
      <c r="BH28" s="247">
        <v>67329</v>
      </c>
      <c r="BI28" s="247">
        <f>58779.56+3.1</f>
        <v>58782.659999999996</v>
      </c>
      <c r="BJ28" s="247">
        <f>70446.13+261.69</f>
        <v>70707.820000000007</v>
      </c>
      <c r="BK28" s="247">
        <f>93133.64+3.31</f>
        <v>93136.95</v>
      </c>
      <c r="BL28" s="247">
        <f>104769.47+749.06</f>
        <v>105518.53</v>
      </c>
      <c r="BM28" s="247">
        <f>81989.88+3522.583</f>
        <v>85512.463000000003</v>
      </c>
      <c r="BN28" s="247">
        <f>69256.31+1803.38</f>
        <v>71059.69</v>
      </c>
      <c r="BO28" s="247">
        <f>119+0+13150+56710+292</f>
        <v>70271</v>
      </c>
      <c r="BP28" s="247">
        <f>9.64+39784.27+32.06+40895.4+269.74</f>
        <v>80991.11</v>
      </c>
      <c r="BQ28" s="247">
        <f>66092+1807</f>
        <v>67899</v>
      </c>
      <c r="BR28" s="247">
        <v>60974.44</v>
      </c>
      <c r="BS28" s="248">
        <v>80652.25</v>
      </c>
      <c r="BT28" s="101">
        <f>6457.95+24184.27+47534.07</f>
        <v>78176.290000000008</v>
      </c>
      <c r="BU28" s="101">
        <f>79102.91+331.58</f>
        <v>79434.490000000005</v>
      </c>
      <c r="BV28" s="101"/>
      <c r="BW28" s="241" t="s">
        <v>57</v>
      </c>
    </row>
    <row r="29" spans="1:75" s="2" customFormat="1" x14ac:dyDescent="0.25">
      <c r="A29" s="73">
        <f t="shared" si="2"/>
        <v>5842</v>
      </c>
      <c r="B29" s="97"/>
      <c r="C29" s="98" t="s">
        <v>175</v>
      </c>
      <c r="D29" s="98" t="s">
        <v>173</v>
      </c>
      <c r="E29" s="99" t="s">
        <v>144</v>
      </c>
      <c r="F29" s="126" t="s">
        <v>137</v>
      </c>
      <c r="G29" s="100"/>
      <c r="H29" s="100"/>
      <c r="I29" s="100"/>
      <c r="J29" s="100"/>
      <c r="K29" s="100"/>
      <c r="L29" s="100"/>
      <c r="M29" s="100"/>
      <c r="N29" s="101" t="s">
        <v>136</v>
      </c>
      <c r="O29" s="101">
        <v>716</v>
      </c>
      <c r="P29" s="101">
        <v>1592</v>
      </c>
      <c r="Q29" s="101">
        <v>1875</v>
      </c>
      <c r="R29" s="101"/>
      <c r="S29" s="101">
        <v>54</v>
      </c>
      <c r="T29" s="101"/>
      <c r="U29" s="101"/>
      <c r="V29" s="101">
        <v>7</v>
      </c>
      <c r="W29" s="101"/>
      <c r="X29" s="101"/>
      <c r="Y29" s="101"/>
      <c r="Z29" s="101"/>
      <c r="AA29" s="101"/>
      <c r="AB29" s="100"/>
      <c r="AC29" s="100"/>
      <c r="AD29" s="101">
        <v>0</v>
      </c>
      <c r="AE29" s="100"/>
      <c r="AF29" s="100"/>
      <c r="AG29" s="100"/>
      <c r="AH29" s="100"/>
      <c r="AI29" s="100"/>
      <c r="AJ29" s="100"/>
      <c r="AK29" s="100">
        <v>1575</v>
      </c>
      <c r="AL29" s="100">
        <v>23</v>
      </c>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v>0</v>
      </c>
      <c r="BS29" s="103">
        <v>0</v>
      </c>
      <c r="BT29" s="100">
        <v>0</v>
      </c>
      <c r="BU29" s="100"/>
      <c r="BV29" s="100"/>
      <c r="BW29" s="146" t="s">
        <v>137</v>
      </c>
    </row>
    <row r="30" spans="1:75" s="2" customFormat="1" x14ac:dyDescent="0.25">
      <c r="A30" s="73">
        <f t="shared" si="2"/>
        <v>5231.92</v>
      </c>
      <c r="B30" s="97"/>
      <c r="C30" s="98" t="s">
        <v>175</v>
      </c>
      <c r="D30" s="98" t="s">
        <v>174</v>
      </c>
      <c r="E30" s="99" t="s">
        <v>163</v>
      </c>
      <c r="F30" s="126" t="s">
        <v>162</v>
      </c>
      <c r="G30" s="100"/>
      <c r="H30" s="100"/>
      <c r="I30" s="100"/>
      <c r="J30" s="100"/>
      <c r="K30" s="100"/>
      <c r="L30" s="100"/>
      <c r="M30" s="100"/>
      <c r="N30" s="100"/>
      <c r="O30" s="100"/>
      <c r="P30" s="100"/>
      <c r="Q30" s="100"/>
      <c r="R30" s="100">
        <v>1412</v>
      </c>
      <c r="S30" s="100"/>
      <c r="T30" s="100"/>
      <c r="U30" s="100">
        <v>25</v>
      </c>
      <c r="V30" s="100"/>
      <c r="W30" s="100"/>
      <c r="X30" s="100"/>
      <c r="Y30" s="100"/>
      <c r="Z30" s="100"/>
      <c r="AA30" s="100"/>
      <c r="AB30" s="100">
        <v>238</v>
      </c>
      <c r="AC30" s="100">
        <v>1111.92</v>
      </c>
      <c r="AD30" s="101">
        <v>250</v>
      </c>
      <c r="AE30" s="100"/>
      <c r="AF30" s="100"/>
      <c r="AG30" s="100"/>
      <c r="AH30" s="100">
        <v>28</v>
      </c>
      <c r="AI30" s="100"/>
      <c r="AJ30" s="100">
        <v>796</v>
      </c>
      <c r="AK30" s="100"/>
      <c r="AL30" s="100"/>
      <c r="AM30" s="100"/>
      <c r="AN30" s="100">
        <v>75</v>
      </c>
      <c r="AO30" s="100"/>
      <c r="AP30" s="100"/>
      <c r="AQ30" s="100"/>
      <c r="AR30" s="100"/>
      <c r="AS30" s="100"/>
      <c r="AT30" s="100"/>
      <c r="AU30" s="100"/>
      <c r="AV30" s="100"/>
      <c r="AW30" s="100"/>
      <c r="AX30" s="100"/>
      <c r="AY30" s="100"/>
      <c r="AZ30" s="100"/>
      <c r="BA30" s="100">
        <v>1296</v>
      </c>
      <c r="BB30" s="100"/>
      <c r="BC30" s="100"/>
      <c r="BD30" s="100"/>
      <c r="BE30" s="100"/>
      <c r="BF30" s="100"/>
      <c r="BG30" s="100"/>
      <c r="BH30" s="100"/>
      <c r="BI30" s="100"/>
      <c r="BJ30" s="100"/>
      <c r="BK30" s="100"/>
      <c r="BL30" s="100"/>
      <c r="BM30" s="100"/>
      <c r="BN30" s="100"/>
      <c r="BO30" s="100"/>
      <c r="BP30" s="100"/>
      <c r="BQ30" s="100"/>
      <c r="BR30" s="100">
        <v>0</v>
      </c>
      <c r="BS30" s="103">
        <v>0</v>
      </c>
      <c r="BT30" s="100">
        <v>0</v>
      </c>
      <c r="BU30" s="100"/>
      <c r="BV30" s="100"/>
      <c r="BW30" s="146" t="s">
        <v>162</v>
      </c>
    </row>
    <row r="31" spans="1:75" s="2" customFormat="1" x14ac:dyDescent="0.25">
      <c r="A31" s="73">
        <f t="shared" si="2"/>
        <v>4748</v>
      </c>
      <c r="B31" s="97"/>
      <c r="C31" s="98" t="s">
        <v>175</v>
      </c>
      <c r="D31" s="98" t="s">
        <v>174</v>
      </c>
      <c r="E31" s="99" t="s">
        <v>165</v>
      </c>
      <c r="F31" s="128" t="s">
        <v>164</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1">
        <v>4121</v>
      </c>
      <c r="AE31" s="100">
        <v>319</v>
      </c>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v>308</v>
      </c>
      <c r="BR31" s="100">
        <v>0</v>
      </c>
      <c r="BS31" s="103">
        <v>0</v>
      </c>
      <c r="BT31" s="100">
        <v>0</v>
      </c>
      <c r="BU31" s="100"/>
      <c r="BV31" s="100"/>
      <c r="BW31" s="146" t="s">
        <v>164</v>
      </c>
    </row>
    <row r="32" spans="1:75" s="2" customFormat="1" x14ac:dyDescent="0.25">
      <c r="A32" s="73">
        <f t="shared" si="2"/>
        <v>0</v>
      </c>
      <c r="B32" s="97"/>
      <c r="C32" s="98" t="s">
        <v>175</v>
      </c>
      <c r="D32" s="98" t="s">
        <v>173</v>
      </c>
      <c r="E32" s="99" t="s">
        <v>167</v>
      </c>
      <c r="F32" s="126" t="s">
        <v>166</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v>0</v>
      </c>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v>0</v>
      </c>
      <c r="BS32" s="103">
        <v>0</v>
      </c>
      <c r="BT32" s="102">
        <v>0</v>
      </c>
      <c r="BU32" s="102"/>
      <c r="BV32" s="102"/>
      <c r="BW32" s="146" t="s">
        <v>166</v>
      </c>
    </row>
    <row r="33" spans="1:76" s="249" customFormat="1" x14ac:dyDescent="0.25">
      <c r="A33" s="234">
        <f t="shared" si="2"/>
        <v>1185737.5619999997</v>
      </c>
      <c r="B33" s="243" t="s">
        <v>141</v>
      </c>
      <c r="C33" s="244" t="s">
        <v>202</v>
      </c>
      <c r="D33" s="244" t="s">
        <v>23</v>
      </c>
      <c r="E33" s="245" t="s">
        <v>38</v>
      </c>
      <c r="F33" s="250" t="s">
        <v>58</v>
      </c>
      <c r="G33" s="247">
        <f>556+110000</f>
        <v>110556</v>
      </c>
      <c r="H33" s="247">
        <f>268+100000</f>
        <v>100268</v>
      </c>
      <c r="I33" s="247">
        <f>1316+90000</f>
        <v>91316</v>
      </c>
      <c r="J33" s="247">
        <f>73+50000</f>
        <v>50073</v>
      </c>
      <c r="K33" s="247">
        <f>91+50000</f>
        <v>50091</v>
      </c>
      <c r="L33" s="247">
        <f>16+30000</f>
        <v>30016</v>
      </c>
      <c r="M33" s="247">
        <f>1445+50000</f>
        <v>51445</v>
      </c>
      <c r="N33" s="247">
        <v>35000</v>
      </c>
      <c r="O33" s="247">
        <v>35000</v>
      </c>
      <c r="P33" s="247">
        <v>632</v>
      </c>
      <c r="Q33" s="247">
        <v>1864</v>
      </c>
      <c r="R33" s="247">
        <v>728</v>
      </c>
      <c r="S33" s="247">
        <v>1605</v>
      </c>
      <c r="T33" s="247">
        <v>2989</v>
      </c>
      <c r="U33" s="247">
        <v>2142</v>
      </c>
      <c r="V33" s="247">
        <v>1822</v>
      </c>
      <c r="W33" s="247">
        <v>2630</v>
      </c>
      <c r="X33" s="247">
        <v>830</v>
      </c>
      <c r="Y33" s="247">
        <v>171</v>
      </c>
      <c r="Z33" s="247">
        <v>291.77</v>
      </c>
      <c r="AA33" s="247">
        <v>1020.95</v>
      </c>
      <c r="AB33" s="247">
        <v>3013.76</v>
      </c>
      <c r="AC33" s="247">
        <v>407.63</v>
      </c>
      <c r="AD33" s="247">
        <v>1440</v>
      </c>
      <c r="AE33" s="247">
        <v>2052</v>
      </c>
      <c r="AF33" s="247">
        <v>8169</v>
      </c>
      <c r="AG33" s="247">
        <v>1054.48</v>
      </c>
      <c r="AH33" s="247">
        <v>792.41</v>
      </c>
      <c r="AI33" s="247">
        <v>4988.28</v>
      </c>
      <c r="AJ33" s="247">
        <v>2065.3000000000002</v>
      </c>
      <c r="AK33" s="247">
        <v>4145.45</v>
      </c>
      <c r="AL33" s="247">
        <v>513.15</v>
      </c>
      <c r="AM33" s="247">
        <v>4148.8500000000004</v>
      </c>
      <c r="AN33" s="247">
        <v>8105.22</v>
      </c>
      <c r="AO33" s="247">
        <v>11062.842000000001</v>
      </c>
      <c r="AP33" s="247">
        <v>22756</v>
      </c>
      <c r="AQ33" s="247">
        <v>3359</v>
      </c>
      <c r="AR33" s="247">
        <v>3303</v>
      </c>
      <c r="AS33" s="247">
        <v>4116</v>
      </c>
      <c r="AT33" s="247">
        <v>17</v>
      </c>
      <c r="AU33" s="247">
        <v>61</v>
      </c>
      <c r="AV33" s="247">
        <v>2320</v>
      </c>
      <c r="AW33" s="247">
        <v>1172</v>
      </c>
      <c r="AX33" s="247">
        <v>2963</v>
      </c>
      <c r="AY33" s="247">
        <v>1688</v>
      </c>
      <c r="AZ33" s="247">
        <v>1881</v>
      </c>
      <c r="BA33" s="247">
        <v>5159</v>
      </c>
      <c r="BB33" s="247">
        <v>13275</v>
      </c>
      <c r="BC33" s="247">
        <v>14922.83</v>
      </c>
      <c r="BD33" s="247">
        <v>6369.97</v>
      </c>
      <c r="BE33" s="247">
        <v>11200</v>
      </c>
      <c r="BF33" s="247">
        <v>22774</v>
      </c>
      <c r="BG33" s="247">
        <v>21658</v>
      </c>
      <c r="BH33" s="247">
        <v>28468</v>
      </c>
      <c r="BI33" s="247">
        <v>10342.35</v>
      </c>
      <c r="BJ33" s="247">
        <v>35082.83</v>
      </c>
      <c r="BK33" s="247">
        <v>11813.57</v>
      </c>
      <c r="BL33" s="247">
        <v>24613.37</v>
      </c>
      <c r="BM33" s="247">
        <v>30364.74</v>
      </c>
      <c r="BN33" s="247">
        <v>26718.25</v>
      </c>
      <c r="BO33" s="247">
        <v>16801</v>
      </c>
      <c r="BP33" s="247">
        <v>43708.31</v>
      </c>
      <c r="BQ33" s="247">
        <v>47440</v>
      </c>
      <c r="BR33" s="247">
        <v>31701.06</v>
      </c>
      <c r="BS33" s="248">
        <v>26254.82</v>
      </c>
      <c r="BT33" s="101">
        <f>41371.1+2346.33</f>
        <v>43717.43</v>
      </c>
      <c r="BU33" s="101">
        <v>47267.94</v>
      </c>
      <c r="BV33" s="101"/>
      <c r="BW33" s="241" t="s">
        <v>58</v>
      </c>
    </row>
    <row r="34" spans="1:76" s="2" customFormat="1" x14ac:dyDescent="0.25">
      <c r="A34" s="73">
        <f t="shared" si="2"/>
        <v>7524</v>
      </c>
      <c r="B34" s="97"/>
      <c r="C34" s="98" t="s">
        <v>175</v>
      </c>
      <c r="D34" s="98" t="s">
        <v>173</v>
      </c>
      <c r="E34" s="99" t="s">
        <v>169</v>
      </c>
      <c r="F34" s="126" t="s">
        <v>168</v>
      </c>
      <c r="G34" s="100"/>
      <c r="H34" s="100"/>
      <c r="I34" s="100"/>
      <c r="J34" s="100"/>
      <c r="K34" s="100"/>
      <c r="L34" s="100"/>
      <c r="M34" s="100"/>
      <c r="N34" s="100"/>
      <c r="O34" s="100"/>
      <c r="P34" s="100"/>
      <c r="Q34" s="100"/>
      <c r="R34" s="100"/>
      <c r="S34" s="100"/>
      <c r="T34" s="100"/>
      <c r="U34" s="100"/>
      <c r="V34" s="100">
        <v>1473</v>
      </c>
      <c r="W34" s="100">
        <v>2016</v>
      </c>
      <c r="X34" s="100">
        <v>283</v>
      </c>
      <c r="Y34" s="100">
        <v>1522</v>
      </c>
      <c r="Z34" s="100"/>
      <c r="AA34" s="100"/>
      <c r="AB34" s="100"/>
      <c r="AC34" s="100"/>
      <c r="AD34" s="101">
        <v>0</v>
      </c>
      <c r="AE34" s="100">
        <v>2180</v>
      </c>
      <c r="AF34" s="100"/>
      <c r="AG34" s="100"/>
      <c r="AH34" s="100"/>
      <c r="AI34" s="100">
        <v>50</v>
      </c>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v>0</v>
      </c>
      <c r="BS34" s="103">
        <v>0</v>
      </c>
      <c r="BT34" s="100">
        <v>0</v>
      </c>
      <c r="BU34" s="100"/>
      <c r="BV34" s="100"/>
      <c r="BW34" s="146" t="s">
        <v>168</v>
      </c>
    </row>
    <row r="35" spans="1:76" s="2" customFormat="1" ht="13.8" thickBot="1" x14ac:dyDescent="0.3">
      <c r="A35" s="148">
        <f t="shared" si="2"/>
        <v>5450.79</v>
      </c>
      <c r="B35" s="149" t="s">
        <v>141</v>
      </c>
      <c r="C35" s="150" t="s">
        <v>202</v>
      </c>
      <c r="D35" s="150" t="s">
        <v>23</v>
      </c>
      <c r="E35" s="151" t="s">
        <v>39</v>
      </c>
      <c r="F35" s="152" t="s">
        <v>59</v>
      </c>
      <c r="G35" s="153"/>
      <c r="H35" s="153"/>
      <c r="I35" s="153"/>
      <c r="J35" s="153"/>
      <c r="K35" s="153"/>
      <c r="L35" s="153"/>
      <c r="M35" s="153"/>
      <c r="N35" s="153"/>
      <c r="O35" s="153"/>
      <c r="P35" s="153"/>
      <c r="Q35" s="153"/>
      <c r="R35" s="153"/>
      <c r="S35" s="153"/>
      <c r="T35" s="154"/>
      <c r="U35" s="153"/>
      <c r="V35" s="153">
        <v>468</v>
      </c>
      <c r="W35" s="154"/>
      <c r="X35" s="153">
        <v>117</v>
      </c>
      <c r="Y35" s="153"/>
      <c r="Z35" s="153">
        <v>145.63</v>
      </c>
      <c r="AA35" s="153">
        <v>419.16</v>
      </c>
      <c r="AB35" s="154"/>
      <c r="AC35" s="153"/>
      <c r="AD35" s="155">
        <v>17</v>
      </c>
      <c r="AE35" s="153"/>
      <c r="AF35" s="153"/>
      <c r="AG35" s="153"/>
      <c r="AH35" s="153"/>
      <c r="AI35" s="153"/>
      <c r="AJ35" s="153"/>
      <c r="AK35" s="153"/>
      <c r="AL35" s="153"/>
      <c r="AM35" s="153">
        <v>4284</v>
      </c>
      <c r="AN35" s="153">
        <v>0</v>
      </c>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v>0</v>
      </c>
      <c r="BS35" s="156">
        <v>0</v>
      </c>
      <c r="BT35" s="157">
        <v>0</v>
      </c>
      <c r="BU35" s="157"/>
      <c r="BV35" s="157"/>
      <c r="BW35" s="147" t="s">
        <v>59</v>
      </c>
    </row>
    <row r="36" spans="1:76" s="31" customFormat="1" ht="12" thickTop="1" x14ac:dyDescent="0.2">
      <c r="D36" s="36"/>
      <c r="F36" s="32" t="s">
        <v>521</v>
      </c>
      <c r="G36" s="41">
        <v>782951</v>
      </c>
      <c r="H36" s="41">
        <v>830712</v>
      </c>
      <c r="I36" s="41">
        <v>724484</v>
      </c>
      <c r="J36" s="41">
        <v>608571</v>
      </c>
      <c r="K36" s="41">
        <v>534142</v>
      </c>
      <c r="L36" s="41">
        <v>472542</v>
      </c>
      <c r="M36" s="41">
        <v>443430</v>
      </c>
      <c r="N36" s="41">
        <v>354438</v>
      </c>
      <c r="O36" s="41">
        <v>302167</v>
      </c>
      <c r="P36" s="41">
        <v>118727</v>
      </c>
      <c r="Q36" s="41">
        <v>137761</v>
      </c>
      <c r="R36" s="41">
        <v>174459</v>
      </c>
      <c r="S36" s="41">
        <v>181558</v>
      </c>
      <c r="T36" s="41">
        <v>157795</v>
      </c>
      <c r="U36" s="41">
        <v>189318</v>
      </c>
      <c r="V36" s="41">
        <v>229431</v>
      </c>
      <c r="W36" s="41">
        <v>226957</v>
      </c>
      <c r="X36" s="41">
        <v>185269</v>
      </c>
      <c r="Y36" s="41">
        <v>123449</v>
      </c>
      <c r="Z36" s="41">
        <v>170814</v>
      </c>
      <c r="AA36" s="41">
        <v>189292</v>
      </c>
      <c r="AB36" s="41">
        <v>172413.64</v>
      </c>
      <c r="AC36" s="41">
        <v>149007.35999999999</v>
      </c>
      <c r="AD36" s="43">
        <v>250616</v>
      </c>
      <c r="AE36" s="41">
        <v>285889.03999999998</v>
      </c>
      <c r="AF36" s="41">
        <v>225274.96</v>
      </c>
      <c r="AG36" s="41">
        <v>159865.37</v>
      </c>
      <c r="AH36" s="41">
        <v>203439.75</v>
      </c>
      <c r="AI36" s="41">
        <v>227916.63</v>
      </c>
      <c r="AJ36" s="41">
        <v>234668.6</v>
      </c>
      <c r="AK36" s="41">
        <v>223430.09</v>
      </c>
      <c r="AL36" s="41">
        <v>185700.31</v>
      </c>
      <c r="AM36" s="41">
        <v>215843.19</v>
      </c>
      <c r="AN36" s="41">
        <v>164016.98000000001</v>
      </c>
      <c r="AO36" s="41">
        <v>226487</v>
      </c>
      <c r="AP36" s="41">
        <v>249131</v>
      </c>
      <c r="AQ36" s="41">
        <v>268025</v>
      </c>
      <c r="AR36" s="41">
        <v>221382</v>
      </c>
      <c r="AS36" s="41">
        <v>195994</v>
      </c>
      <c r="AT36" s="41">
        <v>229976</v>
      </c>
      <c r="AU36" s="41">
        <v>182268</v>
      </c>
      <c r="AV36" s="41">
        <v>135191</v>
      </c>
      <c r="AW36" s="41">
        <v>90693</v>
      </c>
      <c r="AX36" s="41">
        <v>135195</v>
      </c>
      <c r="AY36" s="41">
        <v>113725</v>
      </c>
      <c r="AZ36" s="41">
        <v>114151</v>
      </c>
      <c r="BA36" s="41">
        <v>116337</v>
      </c>
      <c r="BB36" s="41">
        <v>110038</v>
      </c>
      <c r="BC36" s="41">
        <v>164201.04999999999</v>
      </c>
      <c r="BD36" s="41">
        <f>+'TAB1.0 Accomplshmnt by District'!I245</f>
        <v>127469.02000000002</v>
      </c>
      <c r="BE36" s="41">
        <f>+'TAB1.0 Accomplshmnt by District'!I246</f>
        <v>208094.52</v>
      </c>
      <c r="BF36" s="41">
        <f>+'TAB1.0 Accomplshmnt by District'!I247</f>
        <v>264789.18</v>
      </c>
      <c r="BG36" s="41">
        <f>+'TAB1.0 Accomplshmnt by District'!I248</f>
        <v>228695.26</v>
      </c>
      <c r="BH36" s="41">
        <f>+'TAB1.0 Accomplshmnt by District'!I249</f>
        <v>257883.39999999997</v>
      </c>
      <c r="BI36" s="41">
        <f>+'TAB1.0 Accomplshmnt by District'!I250</f>
        <v>277822.2</v>
      </c>
      <c r="BJ36" s="41">
        <f>+'TAB1.0 Accomplshmnt by District'!I251</f>
        <v>271808.99</v>
      </c>
      <c r="BK36" s="41">
        <f>+'TAB1.0 Accomplshmnt by District'!I252</f>
        <v>323711.35999999999</v>
      </c>
      <c r="BL36" s="41">
        <f>+'TAB1.0 Accomplshmnt by District'!I253</f>
        <v>294741.2</v>
      </c>
      <c r="BM36" s="41">
        <f>+'TAB1.0 Accomplshmnt by District'!I254</f>
        <v>271481.43</v>
      </c>
      <c r="BN36" s="41">
        <f>+'TAB1.0 Accomplshmnt by District'!I255</f>
        <v>259552.25999999998</v>
      </c>
      <c r="BO36" s="47">
        <f>+'TAB1.0 Accomplshmnt by District'!I256</f>
        <v>266201.35000000003</v>
      </c>
      <c r="BP36" s="42">
        <f>+'TAB1.0 Accomplshmnt by District'!I257</f>
        <v>292953.81</v>
      </c>
      <c r="BQ36" s="42">
        <f>+'TAB1.0 Accomplshmnt by District'!I258</f>
        <v>271675.41000000003</v>
      </c>
      <c r="BR36" s="42">
        <f>+'TAB1.0 Accomplshmnt by District'!I259</f>
        <v>262941.43999999994</v>
      </c>
      <c r="BS36" s="42">
        <f>+'TAB1.0 Accomplshmnt by District'!I260</f>
        <v>240564.00999999998</v>
      </c>
      <c r="BT36" s="68">
        <f>+'TAB1.0 Accomplshmnt by District'!I261</f>
        <v>231822.12</v>
      </c>
      <c r="BU36" s="68">
        <f>+'TAB1.0 Accomplshmnt by District'!I262</f>
        <v>274174.53000000003</v>
      </c>
      <c r="BV36" s="68">
        <f>+'TAB1.0 Accomplshmnt by District'!I263</f>
        <v>0</v>
      </c>
      <c r="BW36" s="91" t="s">
        <v>522</v>
      </c>
    </row>
    <row r="37" spans="1:76" s="6" customFormat="1" x14ac:dyDescent="0.25">
      <c r="D37" s="35"/>
      <c r="E37" s="34"/>
      <c r="F37" s="33" t="s">
        <v>172</v>
      </c>
      <c r="G37" s="37">
        <f t="shared" ref="G37:AL37" si="3">+G1-G36</f>
        <v>0</v>
      </c>
      <c r="H37" s="37">
        <f t="shared" si="3"/>
        <v>0</v>
      </c>
      <c r="I37" s="37">
        <f t="shared" si="3"/>
        <v>0</v>
      </c>
      <c r="J37" s="37">
        <f t="shared" si="3"/>
        <v>0</v>
      </c>
      <c r="K37" s="37">
        <f t="shared" si="3"/>
        <v>0</v>
      </c>
      <c r="L37" s="37">
        <f t="shared" si="3"/>
        <v>0</v>
      </c>
      <c r="M37" s="37">
        <f t="shared" si="3"/>
        <v>0</v>
      </c>
      <c r="N37" s="37">
        <f t="shared" si="3"/>
        <v>0</v>
      </c>
      <c r="O37" s="37">
        <f t="shared" si="3"/>
        <v>0</v>
      </c>
      <c r="P37" s="37">
        <f t="shared" si="3"/>
        <v>0</v>
      </c>
      <c r="Q37" s="37">
        <f t="shared" si="3"/>
        <v>0</v>
      </c>
      <c r="R37" s="37">
        <f t="shared" si="3"/>
        <v>0</v>
      </c>
      <c r="S37" s="37">
        <f t="shared" si="3"/>
        <v>0</v>
      </c>
      <c r="T37" s="37">
        <f t="shared" si="3"/>
        <v>5</v>
      </c>
      <c r="U37" s="37">
        <f t="shared" si="3"/>
        <v>0</v>
      </c>
      <c r="V37" s="37">
        <f t="shared" si="3"/>
        <v>0</v>
      </c>
      <c r="W37" s="37">
        <f t="shared" si="3"/>
        <v>2</v>
      </c>
      <c r="X37" s="37">
        <f t="shared" si="3"/>
        <v>0</v>
      </c>
      <c r="Y37" s="37">
        <f t="shared" si="3"/>
        <v>0</v>
      </c>
      <c r="Z37" s="37">
        <f t="shared" si="3"/>
        <v>0.26000000000931323</v>
      </c>
      <c r="AA37" s="37">
        <f t="shared" si="3"/>
        <v>0.28000000005704351</v>
      </c>
      <c r="AB37" s="37">
        <f t="shared" si="3"/>
        <v>-0.70000000001164153</v>
      </c>
      <c r="AC37" s="37">
        <f t="shared" si="3"/>
        <v>0</v>
      </c>
      <c r="AD37" s="37">
        <f t="shared" si="3"/>
        <v>0</v>
      </c>
      <c r="AE37" s="37">
        <f t="shared" si="3"/>
        <v>0.96000000002095476</v>
      </c>
      <c r="AF37" s="37">
        <f t="shared" si="3"/>
        <v>4.0000000008149073E-2</v>
      </c>
      <c r="AG37" s="37">
        <f t="shared" si="3"/>
        <v>0</v>
      </c>
      <c r="AH37" s="37">
        <f t="shared" si="3"/>
        <v>0.26000000003841706</v>
      </c>
      <c r="AI37" s="37">
        <f t="shared" si="3"/>
        <v>0</v>
      </c>
      <c r="AJ37" s="37">
        <f t="shared" si="3"/>
        <v>-0.67000000007101335</v>
      </c>
      <c r="AK37" s="37">
        <f t="shared" si="3"/>
        <v>0.54000000000814907</v>
      </c>
      <c r="AL37" s="37">
        <f t="shared" si="3"/>
        <v>-0.67999999999301508</v>
      </c>
      <c r="AM37" s="37">
        <f t="shared" ref="AM37:BV37" si="4">+AM1-AM36</f>
        <v>-0.22000000000116415</v>
      </c>
      <c r="AN37" s="37">
        <f t="shared" si="4"/>
        <v>-0.17000000004190952</v>
      </c>
      <c r="AO37" s="37">
        <f t="shared" si="4"/>
        <v>0.14900000000488944</v>
      </c>
      <c r="AP37" s="37">
        <f t="shared" si="4"/>
        <v>0</v>
      </c>
      <c r="AQ37" s="37">
        <f t="shared" si="4"/>
        <v>-1</v>
      </c>
      <c r="AR37" s="37">
        <f t="shared" si="4"/>
        <v>-2</v>
      </c>
      <c r="AS37" s="37">
        <f t="shared" si="4"/>
        <v>0</v>
      </c>
      <c r="AT37" s="37">
        <f t="shared" si="4"/>
        <v>-1</v>
      </c>
      <c r="AU37" s="37">
        <f t="shared" si="4"/>
        <v>-3</v>
      </c>
      <c r="AV37" s="37">
        <f t="shared" si="4"/>
        <v>-2</v>
      </c>
      <c r="AW37" s="37">
        <f t="shared" si="4"/>
        <v>-1</v>
      </c>
      <c r="AX37" s="37">
        <f t="shared" si="4"/>
        <v>0</v>
      </c>
      <c r="AY37" s="37">
        <f t="shared" si="4"/>
        <v>-2</v>
      </c>
      <c r="AZ37" s="37">
        <f t="shared" si="4"/>
        <v>-0.44000000000232831</v>
      </c>
      <c r="BA37" s="37">
        <f t="shared" si="4"/>
        <v>-3</v>
      </c>
      <c r="BB37" s="37">
        <f t="shared" si="4"/>
        <v>0</v>
      </c>
      <c r="BC37" s="37">
        <f t="shared" si="4"/>
        <v>2.0799999999871943</v>
      </c>
      <c r="BD37" s="37">
        <f t="shared" si="4"/>
        <v>940.88999999998487</v>
      </c>
      <c r="BE37" s="37">
        <f t="shared" si="4"/>
        <v>-202.60000000000582</v>
      </c>
      <c r="BF37" s="37">
        <f t="shared" si="4"/>
        <v>-909.72000000003027</v>
      </c>
      <c r="BG37" s="37">
        <f t="shared" si="4"/>
        <v>0.3000000000174623</v>
      </c>
      <c r="BH37" s="37">
        <f t="shared" si="4"/>
        <v>-1.3999999999650754</v>
      </c>
      <c r="BI37" s="37">
        <f t="shared" si="4"/>
        <v>-3.0000000086147338E-2</v>
      </c>
      <c r="BJ37" s="37">
        <f t="shared" si="4"/>
        <v>0.20000000001164153</v>
      </c>
      <c r="BK37" s="37">
        <f t="shared" si="4"/>
        <v>50</v>
      </c>
      <c r="BL37" s="37">
        <f t="shared" si="4"/>
        <v>1.9999999960418791E-2</v>
      </c>
      <c r="BM37" s="37">
        <f t="shared" si="4"/>
        <v>0.35300000000279397</v>
      </c>
      <c r="BN37" s="37">
        <f t="shared" si="4"/>
        <v>0</v>
      </c>
      <c r="BO37" s="37">
        <f t="shared" si="4"/>
        <v>-3.3500000000349246</v>
      </c>
      <c r="BP37" s="37">
        <f t="shared" si="4"/>
        <v>0</v>
      </c>
      <c r="BQ37" s="37">
        <f t="shared" si="4"/>
        <v>-1.4100000000325963</v>
      </c>
      <c r="BR37" s="37">
        <f t="shared" si="4"/>
        <v>1.0000000067520887E-2</v>
      </c>
      <c r="BS37" s="37">
        <f t="shared" si="4"/>
        <v>0</v>
      </c>
      <c r="BT37" s="37">
        <f t="shared" si="4"/>
        <v>0</v>
      </c>
      <c r="BU37" s="37">
        <f t="shared" si="4"/>
        <v>2.9999999969732016E-2</v>
      </c>
      <c r="BV37" s="37">
        <f t="shared" si="4"/>
        <v>0</v>
      </c>
      <c r="BW37" s="92" t="s">
        <v>172</v>
      </c>
    </row>
    <row r="38" spans="1:76" s="6" customFormat="1" ht="9" customHeight="1" thickBot="1" x14ac:dyDescent="0.3">
      <c r="D38" s="35"/>
      <c r="E38" s="34"/>
      <c r="F38" s="129"/>
      <c r="G38" s="40"/>
      <c r="H38" s="40"/>
      <c r="I38" s="40"/>
      <c r="J38" s="40"/>
      <c r="K38" s="40"/>
      <c r="L38" s="40"/>
      <c r="M38" s="40"/>
      <c r="N38" s="40"/>
      <c r="O38" s="40"/>
      <c r="P38" s="40"/>
      <c r="Q38" s="40"/>
      <c r="R38" s="40"/>
      <c r="S38" s="40"/>
      <c r="T38" s="40"/>
      <c r="U38" s="40"/>
      <c r="V38" s="40"/>
      <c r="W38" s="40"/>
      <c r="X38" s="40"/>
      <c r="Y38" s="40"/>
      <c r="Z38" s="40"/>
      <c r="AA38" s="40"/>
      <c r="AB38" s="40"/>
      <c r="AC38" s="40"/>
      <c r="AD38" s="44"/>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1"/>
      <c r="BU38" s="1"/>
      <c r="BV38" s="1"/>
      <c r="BW38" s="90"/>
    </row>
    <row r="39" spans="1:76" s="68" customFormat="1" ht="13.8" thickBot="1" x14ac:dyDescent="0.3">
      <c r="C39" s="130"/>
      <c r="F39" s="261" t="s">
        <v>305</v>
      </c>
      <c r="G39" s="251">
        <v>1949</v>
      </c>
      <c r="H39" s="252">
        <f t="shared" ref="H39:AM39" si="5">+G39+1</f>
        <v>1950</v>
      </c>
      <c r="I39" s="252">
        <f t="shared" si="5"/>
        <v>1951</v>
      </c>
      <c r="J39" s="252">
        <f t="shared" si="5"/>
        <v>1952</v>
      </c>
      <c r="K39" s="252">
        <f t="shared" si="5"/>
        <v>1953</v>
      </c>
      <c r="L39" s="252">
        <f t="shared" si="5"/>
        <v>1954</v>
      </c>
      <c r="M39" s="252">
        <f t="shared" si="5"/>
        <v>1955</v>
      </c>
      <c r="N39" s="252">
        <f t="shared" si="5"/>
        <v>1956</v>
      </c>
      <c r="O39" s="252">
        <f t="shared" si="5"/>
        <v>1957</v>
      </c>
      <c r="P39" s="252">
        <f t="shared" si="5"/>
        <v>1958</v>
      </c>
      <c r="Q39" s="252">
        <f t="shared" si="5"/>
        <v>1959</v>
      </c>
      <c r="R39" s="252">
        <f t="shared" si="5"/>
        <v>1960</v>
      </c>
      <c r="S39" s="252">
        <f t="shared" si="5"/>
        <v>1961</v>
      </c>
      <c r="T39" s="252">
        <f t="shared" si="5"/>
        <v>1962</v>
      </c>
      <c r="U39" s="252">
        <f t="shared" si="5"/>
        <v>1963</v>
      </c>
      <c r="V39" s="252">
        <f t="shared" si="5"/>
        <v>1964</v>
      </c>
      <c r="W39" s="252">
        <f t="shared" si="5"/>
        <v>1965</v>
      </c>
      <c r="X39" s="252">
        <f t="shared" si="5"/>
        <v>1966</v>
      </c>
      <c r="Y39" s="252">
        <f t="shared" si="5"/>
        <v>1967</v>
      </c>
      <c r="Z39" s="252">
        <f t="shared" si="5"/>
        <v>1968</v>
      </c>
      <c r="AA39" s="252">
        <f t="shared" si="5"/>
        <v>1969</v>
      </c>
      <c r="AB39" s="252">
        <f t="shared" si="5"/>
        <v>1970</v>
      </c>
      <c r="AC39" s="252">
        <f t="shared" si="5"/>
        <v>1971</v>
      </c>
      <c r="AD39" s="253">
        <f t="shared" si="5"/>
        <v>1972</v>
      </c>
      <c r="AE39" s="252">
        <f t="shared" si="5"/>
        <v>1973</v>
      </c>
      <c r="AF39" s="252">
        <f t="shared" si="5"/>
        <v>1974</v>
      </c>
      <c r="AG39" s="252">
        <f t="shared" si="5"/>
        <v>1975</v>
      </c>
      <c r="AH39" s="252">
        <f t="shared" si="5"/>
        <v>1976</v>
      </c>
      <c r="AI39" s="252">
        <f t="shared" si="5"/>
        <v>1977</v>
      </c>
      <c r="AJ39" s="252">
        <f t="shared" si="5"/>
        <v>1978</v>
      </c>
      <c r="AK39" s="252">
        <f t="shared" si="5"/>
        <v>1979</v>
      </c>
      <c r="AL39" s="252">
        <f t="shared" si="5"/>
        <v>1980</v>
      </c>
      <c r="AM39" s="252">
        <f t="shared" si="5"/>
        <v>1981</v>
      </c>
      <c r="AN39" s="252">
        <f t="shared" ref="AN39:BQ39" si="6">+AM39+1</f>
        <v>1982</v>
      </c>
      <c r="AO39" s="252">
        <f t="shared" si="6"/>
        <v>1983</v>
      </c>
      <c r="AP39" s="252">
        <f t="shared" si="6"/>
        <v>1984</v>
      </c>
      <c r="AQ39" s="252">
        <f t="shared" si="6"/>
        <v>1985</v>
      </c>
      <c r="AR39" s="252">
        <f t="shared" si="6"/>
        <v>1986</v>
      </c>
      <c r="AS39" s="252">
        <f t="shared" si="6"/>
        <v>1987</v>
      </c>
      <c r="AT39" s="252">
        <f t="shared" si="6"/>
        <v>1988</v>
      </c>
      <c r="AU39" s="252">
        <f t="shared" si="6"/>
        <v>1989</v>
      </c>
      <c r="AV39" s="252">
        <f t="shared" si="6"/>
        <v>1990</v>
      </c>
      <c r="AW39" s="252">
        <f t="shared" si="6"/>
        <v>1991</v>
      </c>
      <c r="AX39" s="252">
        <f t="shared" si="6"/>
        <v>1992</v>
      </c>
      <c r="AY39" s="252">
        <f t="shared" si="6"/>
        <v>1993</v>
      </c>
      <c r="AZ39" s="252">
        <f t="shared" si="6"/>
        <v>1994</v>
      </c>
      <c r="BA39" s="252">
        <f t="shared" si="6"/>
        <v>1995</v>
      </c>
      <c r="BB39" s="252">
        <f t="shared" si="6"/>
        <v>1996</v>
      </c>
      <c r="BC39" s="252">
        <f t="shared" si="6"/>
        <v>1997</v>
      </c>
      <c r="BD39" s="252">
        <f t="shared" si="6"/>
        <v>1998</v>
      </c>
      <c r="BE39" s="252">
        <f t="shared" si="6"/>
        <v>1999</v>
      </c>
      <c r="BF39" s="252">
        <f t="shared" si="6"/>
        <v>2000</v>
      </c>
      <c r="BG39" s="252">
        <f t="shared" si="6"/>
        <v>2001</v>
      </c>
      <c r="BH39" s="252">
        <f t="shared" si="6"/>
        <v>2002</v>
      </c>
      <c r="BI39" s="252">
        <f t="shared" si="6"/>
        <v>2003</v>
      </c>
      <c r="BJ39" s="252">
        <f t="shared" si="6"/>
        <v>2004</v>
      </c>
      <c r="BK39" s="252">
        <f t="shared" si="6"/>
        <v>2005</v>
      </c>
      <c r="BL39" s="252">
        <f t="shared" si="6"/>
        <v>2006</v>
      </c>
      <c r="BM39" s="252">
        <f t="shared" si="6"/>
        <v>2007</v>
      </c>
      <c r="BN39" s="252">
        <f t="shared" si="6"/>
        <v>2008</v>
      </c>
      <c r="BO39" s="252">
        <f t="shared" si="6"/>
        <v>2009</v>
      </c>
      <c r="BP39" s="252">
        <f t="shared" si="6"/>
        <v>2010</v>
      </c>
      <c r="BQ39" s="252">
        <f t="shared" si="6"/>
        <v>2011</v>
      </c>
      <c r="BR39" s="252">
        <v>2012</v>
      </c>
      <c r="BS39" s="253">
        <v>2013</v>
      </c>
      <c r="BT39" s="253">
        <v>2014</v>
      </c>
      <c r="BU39" s="253">
        <v>2015</v>
      </c>
      <c r="BV39" s="260">
        <v>2016</v>
      </c>
      <c r="BW39" s="93"/>
    </row>
    <row r="40" spans="1:76" ht="13.8" customHeight="1" thickTop="1" x14ac:dyDescent="0.25">
      <c r="D40" s="913" t="s">
        <v>526</v>
      </c>
      <c r="E40" s="914"/>
      <c r="F40" s="761" t="s">
        <v>302</v>
      </c>
      <c r="G40" s="255">
        <f>+G35+G33+G28</f>
        <v>740883</v>
      </c>
      <c r="H40" s="255">
        <f t="shared" ref="H40:BS40" si="7">+H35+H33+H28</f>
        <v>807970</v>
      </c>
      <c r="I40" s="255">
        <f t="shared" si="7"/>
        <v>685967</v>
      </c>
      <c r="J40" s="255">
        <f t="shared" si="7"/>
        <v>593164</v>
      </c>
      <c r="K40" s="255">
        <f t="shared" si="7"/>
        <v>502166</v>
      </c>
      <c r="L40" s="255">
        <f t="shared" si="7"/>
        <v>436142</v>
      </c>
      <c r="M40" s="255">
        <f t="shared" si="7"/>
        <v>422352</v>
      </c>
      <c r="N40" s="255">
        <f t="shared" si="7"/>
        <v>320616</v>
      </c>
      <c r="O40" s="255">
        <f t="shared" si="7"/>
        <v>258222</v>
      </c>
      <c r="P40" s="255">
        <f t="shared" si="7"/>
        <v>75295</v>
      </c>
      <c r="Q40" s="255">
        <f t="shared" si="7"/>
        <v>63655</v>
      </c>
      <c r="R40" s="255">
        <f t="shared" si="7"/>
        <v>73781</v>
      </c>
      <c r="S40" s="255">
        <f t="shared" si="7"/>
        <v>57508</v>
      </c>
      <c r="T40" s="255">
        <f t="shared" si="7"/>
        <v>54463</v>
      </c>
      <c r="U40" s="255">
        <f t="shared" si="7"/>
        <v>65745</v>
      </c>
      <c r="V40" s="255">
        <f t="shared" si="7"/>
        <v>63298</v>
      </c>
      <c r="W40" s="255">
        <f t="shared" si="7"/>
        <v>41224</v>
      </c>
      <c r="X40" s="255">
        <f t="shared" si="7"/>
        <v>33346</v>
      </c>
      <c r="Y40" s="255">
        <f t="shared" si="7"/>
        <v>33353</v>
      </c>
      <c r="Z40" s="255">
        <f t="shared" si="7"/>
        <v>50182.68</v>
      </c>
      <c r="AA40" s="255">
        <f t="shared" si="7"/>
        <v>44944.98</v>
      </c>
      <c r="AB40" s="255">
        <f t="shared" si="7"/>
        <v>32584.14</v>
      </c>
      <c r="AC40" s="255">
        <f t="shared" si="7"/>
        <v>28667.670000000002</v>
      </c>
      <c r="AD40" s="255">
        <f t="shared" si="7"/>
        <v>37552</v>
      </c>
      <c r="AE40" s="255">
        <f t="shared" si="7"/>
        <v>60414</v>
      </c>
      <c r="AF40" s="255">
        <f t="shared" si="7"/>
        <v>40045</v>
      </c>
      <c r="AG40" s="255">
        <f t="shared" si="7"/>
        <v>35355.490000000005</v>
      </c>
      <c r="AH40" s="255">
        <f t="shared" si="7"/>
        <v>25251.29</v>
      </c>
      <c r="AI40" s="255">
        <f t="shared" si="7"/>
        <v>46144.7</v>
      </c>
      <c r="AJ40" s="255">
        <f t="shared" si="7"/>
        <v>16829.41</v>
      </c>
      <c r="AK40" s="255">
        <f t="shared" si="7"/>
        <v>31356.38</v>
      </c>
      <c r="AL40" s="255">
        <f t="shared" si="7"/>
        <v>29418.06</v>
      </c>
      <c r="AM40" s="255">
        <f t="shared" si="7"/>
        <v>45459.53</v>
      </c>
      <c r="AN40" s="255">
        <f t="shared" si="7"/>
        <v>31191.39</v>
      </c>
      <c r="AO40" s="255">
        <f t="shared" si="7"/>
        <v>62656.687999999995</v>
      </c>
      <c r="AP40" s="255">
        <f t="shared" si="7"/>
        <v>49631</v>
      </c>
      <c r="AQ40" s="255">
        <f t="shared" si="7"/>
        <v>33100</v>
      </c>
      <c r="AR40" s="255">
        <f t="shared" si="7"/>
        <v>32790</v>
      </c>
      <c r="AS40" s="255">
        <f t="shared" si="7"/>
        <v>24543</v>
      </c>
      <c r="AT40" s="255">
        <f t="shared" si="7"/>
        <v>52008</v>
      </c>
      <c r="AU40" s="255">
        <f t="shared" si="7"/>
        <v>31525</v>
      </c>
      <c r="AV40" s="255">
        <f t="shared" si="7"/>
        <v>21370</v>
      </c>
      <c r="AW40" s="255">
        <f t="shared" si="7"/>
        <v>22626</v>
      </c>
      <c r="AX40" s="255">
        <f t="shared" si="7"/>
        <v>30766</v>
      </c>
      <c r="AY40" s="255">
        <f t="shared" si="7"/>
        <v>20626</v>
      </c>
      <c r="AZ40" s="255">
        <f t="shared" si="7"/>
        <v>24625</v>
      </c>
      <c r="BA40" s="255">
        <f t="shared" si="7"/>
        <v>26991</v>
      </c>
      <c r="BB40" s="255">
        <f t="shared" si="7"/>
        <v>32142</v>
      </c>
      <c r="BC40" s="255">
        <f t="shared" si="7"/>
        <v>56988.87</v>
      </c>
      <c r="BD40" s="255">
        <f t="shared" si="7"/>
        <v>42894.91</v>
      </c>
      <c r="BE40" s="255">
        <f t="shared" si="7"/>
        <v>63117</v>
      </c>
      <c r="BF40" s="255">
        <f t="shared" si="7"/>
        <v>91991</v>
      </c>
      <c r="BG40" s="255">
        <f t="shared" si="7"/>
        <v>77711.070000000007</v>
      </c>
      <c r="BH40" s="255">
        <f t="shared" si="7"/>
        <v>95797</v>
      </c>
      <c r="BI40" s="255">
        <f t="shared" si="7"/>
        <v>69125.009999999995</v>
      </c>
      <c r="BJ40" s="255">
        <f t="shared" si="7"/>
        <v>105790.65000000001</v>
      </c>
      <c r="BK40" s="255">
        <f t="shared" si="7"/>
        <v>104950.51999999999</v>
      </c>
      <c r="BL40" s="255">
        <f t="shared" si="7"/>
        <v>130131.9</v>
      </c>
      <c r="BM40" s="255">
        <f t="shared" si="7"/>
        <v>115877.20300000001</v>
      </c>
      <c r="BN40" s="255">
        <f t="shared" si="7"/>
        <v>97777.94</v>
      </c>
      <c r="BO40" s="255">
        <f t="shared" si="7"/>
        <v>87072</v>
      </c>
      <c r="BP40" s="255">
        <f t="shared" si="7"/>
        <v>124699.42</v>
      </c>
      <c r="BQ40" s="255">
        <f t="shared" si="7"/>
        <v>115339</v>
      </c>
      <c r="BR40" s="255">
        <f t="shared" si="7"/>
        <v>92675.5</v>
      </c>
      <c r="BS40" s="255">
        <f t="shared" si="7"/>
        <v>106907.07</v>
      </c>
      <c r="BT40" s="255">
        <f>+BT35+BT33+BT28</f>
        <v>121893.72</v>
      </c>
      <c r="BU40" s="255">
        <f>+BU35+BU33+BU28</f>
        <v>126702.43000000001</v>
      </c>
      <c r="BV40" s="254"/>
      <c r="BW40" s="761" t="s">
        <v>302</v>
      </c>
      <c r="BX40" s="909" t="s">
        <v>526</v>
      </c>
    </row>
    <row r="41" spans="1:76" x14ac:dyDescent="0.25">
      <c r="C41" s="764"/>
      <c r="D41" s="913"/>
      <c r="E41" s="914"/>
      <c r="F41" s="762" t="s">
        <v>303</v>
      </c>
      <c r="G41" s="257">
        <f>+G6+G7</f>
        <v>17185</v>
      </c>
      <c r="H41" s="257">
        <f t="shared" ref="H41:BS41" si="8">+H6+H7</f>
        <v>2383</v>
      </c>
      <c r="I41" s="257">
        <f t="shared" si="8"/>
        <v>6272</v>
      </c>
      <c r="J41" s="257">
        <f t="shared" si="8"/>
        <v>1539</v>
      </c>
      <c r="K41" s="257">
        <f t="shared" si="8"/>
        <v>10490</v>
      </c>
      <c r="L41" s="257">
        <f t="shared" si="8"/>
        <v>3300</v>
      </c>
      <c r="M41" s="257">
        <f t="shared" si="8"/>
        <v>4573</v>
      </c>
      <c r="N41" s="257">
        <f t="shared" si="8"/>
        <v>18914</v>
      </c>
      <c r="O41" s="257">
        <f t="shared" si="8"/>
        <v>19500</v>
      </c>
      <c r="P41" s="257">
        <f t="shared" si="8"/>
        <v>9142</v>
      </c>
      <c r="Q41" s="257">
        <f t="shared" si="8"/>
        <v>27404</v>
      </c>
      <c r="R41" s="257">
        <f t="shared" si="8"/>
        <v>40710</v>
      </c>
      <c r="S41" s="257">
        <f t="shared" si="8"/>
        <v>45848</v>
      </c>
      <c r="T41" s="257">
        <f t="shared" si="8"/>
        <v>25890</v>
      </c>
      <c r="U41" s="257">
        <f t="shared" si="8"/>
        <v>40937</v>
      </c>
      <c r="V41" s="257">
        <f t="shared" si="8"/>
        <v>36734</v>
      </c>
      <c r="W41" s="257">
        <f t="shared" si="8"/>
        <v>33977</v>
      </c>
      <c r="X41" s="257">
        <f t="shared" si="8"/>
        <v>27961</v>
      </c>
      <c r="Y41" s="257">
        <f t="shared" si="8"/>
        <v>26456</v>
      </c>
      <c r="Z41" s="257">
        <f t="shared" si="8"/>
        <v>46177.35</v>
      </c>
      <c r="AA41" s="257">
        <f t="shared" si="8"/>
        <v>32649.96</v>
      </c>
      <c r="AB41" s="257">
        <f t="shared" si="8"/>
        <v>24956.89</v>
      </c>
      <c r="AC41" s="257">
        <f t="shared" si="8"/>
        <v>19919.46</v>
      </c>
      <c r="AD41" s="257">
        <f t="shared" si="8"/>
        <v>57491</v>
      </c>
      <c r="AE41" s="257">
        <f t="shared" si="8"/>
        <v>70789</v>
      </c>
      <c r="AF41" s="257">
        <f t="shared" si="8"/>
        <v>31716</v>
      </c>
      <c r="AG41" s="257">
        <f t="shared" si="8"/>
        <v>28769.07</v>
      </c>
      <c r="AH41" s="257">
        <f t="shared" si="8"/>
        <v>72172.73</v>
      </c>
      <c r="AI41" s="257">
        <f t="shared" si="8"/>
        <v>47434.239999999998</v>
      </c>
      <c r="AJ41" s="257">
        <f t="shared" si="8"/>
        <v>59330.329999999994</v>
      </c>
      <c r="AK41" s="257">
        <f t="shared" si="8"/>
        <v>77501.31</v>
      </c>
      <c r="AL41" s="257">
        <f t="shared" si="8"/>
        <v>62860.42</v>
      </c>
      <c r="AM41" s="257">
        <f t="shared" si="8"/>
        <v>74016.94</v>
      </c>
      <c r="AN41" s="257">
        <f t="shared" si="8"/>
        <v>61925.69</v>
      </c>
      <c r="AO41" s="257">
        <f t="shared" si="8"/>
        <v>81538.103000000003</v>
      </c>
      <c r="AP41" s="257">
        <f t="shared" si="8"/>
        <v>101815</v>
      </c>
      <c r="AQ41" s="257">
        <f t="shared" si="8"/>
        <v>89529</v>
      </c>
      <c r="AR41" s="257">
        <f t="shared" si="8"/>
        <v>54358</v>
      </c>
      <c r="AS41" s="257">
        <f t="shared" si="8"/>
        <v>50250</v>
      </c>
      <c r="AT41" s="257">
        <f t="shared" si="8"/>
        <v>97068</v>
      </c>
      <c r="AU41" s="257">
        <f t="shared" si="8"/>
        <v>41598</v>
      </c>
      <c r="AV41" s="257">
        <f t="shared" si="8"/>
        <v>21468</v>
      </c>
      <c r="AW41" s="257">
        <f t="shared" si="8"/>
        <v>24641</v>
      </c>
      <c r="AX41" s="257">
        <f t="shared" si="8"/>
        <v>30659</v>
      </c>
      <c r="AY41" s="257">
        <f t="shared" si="8"/>
        <v>32664</v>
      </c>
      <c r="AZ41" s="257">
        <f t="shared" si="8"/>
        <v>44447</v>
      </c>
      <c r="BA41" s="257">
        <f t="shared" si="8"/>
        <v>42443</v>
      </c>
      <c r="BB41" s="257">
        <f t="shared" si="8"/>
        <v>36962</v>
      </c>
      <c r="BC41" s="257">
        <f t="shared" si="8"/>
        <v>61542.94</v>
      </c>
      <c r="BD41" s="257">
        <f t="shared" si="8"/>
        <v>29699</v>
      </c>
      <c r="BE41" s="257">
        <f t="shared" si="8"/>
        <v>41144</v>
      </c>
      <c r="BF41" s="257">
        <f t="shared" si="8"/>
        <v>72252</v>
      </c>
      <c r="BG41" s="257">
        <f t="shared" si="8"/>
        <v>72665.55</v>
      </c>
      <c r="BH41" s="257">
        <f t="shared" si="8"/>
        <v>79547</v>
      </c>
      <c r="BI41" s="257">
        <f t="shared" si="8"/>
        <v>135751.63</v>
      </c>
      <c r="BJ41" s="257">
        <f t="shared" si="8"/>
        <v>88501.62000000001</v>
      </c>
      <c r="BK41" s="257">
        <f t="shared" si="8"/>
        <v>98595.97</v>
      </c>
      <c r="BL41" s="257">
        <f t="shared" si="8"/>
        <v>94841.23</v>
      </c>
      <c r="BM41" s="257">
        <f t="shared" si="8"/>
        <v>81125.180000000008</v>
      </c>
      <c r="BN41" s="257">
        <f t="shared" si="8"/>
        <v>96734.19</v>
      </c>
      <c r="BO41" s="257">
        <f t="shared" si="8"/>
        <v>107404</v>
      </c>
      <c r="BP41" s="257">
        <f t="shared" si="8"/>
        <v>91408.48000000001</v>
      </c>
      <c r="BQ41" s="257">
        <f t="shared" si="8"/>
        <v>60648</v>
      </c>
      <c r="BR41" s="257">
        <f t="shared" si="8"/>
        <v>60774.02</v>
      </c>
      <c r="BS41" s="257">
        <f t="shared" si="8"/>
        <v>80991.990000000005</v>
      </c>
      <c r="BT41" s="257">
        <f>+BT6+BT7</f>
        <v>55271.899999999994</v>
      </c>
      <c r="BU41" s="257">
        <f>+BU6+BU7</f>
        <v>80369.509999999995</v>
      </c>
      <c r="BV41" s="256"/>
      <c r="BW41" s="762" t="s">
        <v>303</v>
      </c>
      <c r="BX41" s="910"/>
    </row>
    <row r="42" spans="1:76" ht="13.8" thickBot="1" x14ac:dyDescent="0.3">
      <c r="C42" s="764"/>
      <c r="D42" s="913"/>
      <c r="E42" s="914"/>
      <c r="F42" s="763" t="s">
        <v>304</v>
      </c>
      <c r="G42" s="259">
        <f>+G8</f>
        <v>0</v>
      </c>
      <c r="H42" s="259">
        <f t="shared" ref="H42:BS42" si="9">+H8</f>
        <v>678</v>
      </c>
      <c r="I42" s="259">
        <f t="shared" si="9"/>
        <v>0</v>
      </c>
      <c r="J42" s="259">
        <f t="shared" si="9"/>
        <v>0</v>
      </c>
      <c r="K42" s="259">
        <f t="shared" si="9"/>
        <v>109</v>
      </c>
      <c r="L42" s="259">
        <f t="shared" si="9"/>
        <v>297</v>
      </c>
      <c r="M42" s="259">
        <f t="shared" si="9"/>
        <v>730</v>
      </c>
      <c r="N42" s="259">
        <f t="shared" si="9"/>
        <v>243</v>
      </c>
      <c r="O42" s="259">
        <f t="shared" si="9"/>
        <v>878</v>
      </c>
      <c r="P42" s="259">
        <f t="shared" si="9"/>
        <v>579</v>
      </c>
      <c r="Q42" s="259">
        <f t="shared" si="9"/>
        <v>10796</v>
      </c>
      <c r="R42" s="259">
        <f t="shared" si="9"/>
        <v>14175</v>
      </c>
      <c r="S42" s="259">
        <f t="shared" si="9"/>
        <v>27019</v>
      </c>
      <c r="T42" s="259">
        <f t="shared" si="9"/>
        <v>34067</v>
      </c>
      <c r="U42" s="259">
        <f t="shared" si="9"/>
        <v>28642</v>
      </c>
      <c r="V42" s="259">
        <f t="shared" si="9"/>
        <v>53361</v>
      </c>
      <c r="W42" s="259">
        <f t="shared" si="9"/>
        <v>62462</v>
      </c>
      <c r="X42" s="259">
        <f t="shared" si="9"/>
        <v>52446</v>
      </c>
      <c r="Y42" s="259">
        <f t="shared" si="9"/>
        <v>28193</v>
      </c>
      <c r="Z42" s="259">
        <f t="shared" si="9"/>
        <v>22097.71</v>
      </c>
      <c r="AA42" s="259">
        <f t="shared" si="9"/>
        <v>33046.839999999997</v>
      </c>
      <c r="AB42" s="259">
        <f t="shared" si="9"/>
        <v>41137.279999999999</v>
      </c>
      <c r="AC42" s="259">
        <f t="shared" si="9"/>
        <v>28036.48</v>
      </c>
      <c r="AD42" s="259">
        <f t="shared" si="9"/>
        <v>42296</v>
      </c>
      <c r="AE42" s="259">
        <f t="shared" si="9"/>
        <v>62161</v>
      </c>
      <c r="AF42" s="259">
        <f t="shared" si="9"/>
        <v>61883</v>
      </c>
      <c r="AG42" s="259">
        <f t="shared" si="9"/>
        <v>35636.97</v>
      </c>
      <c r="AH42" s="259">
        <f t="shared" si="9"/>
        <v>23834.54</v>
      </c>
      <c r="AI42" s="259">
        <f t="shared" si="9"/>
        <v>35596.81</v>
      </c>
      <c r="AJ42" s="259">
        <f t="shared" si="9"/>
        <v>64904.12</v>
      </c>
      <c r="AK42" s="259">
        <f t="shared" si="9"/>
        <v>50610.74</v>
      </c>
      <c r="AL42" s="259">
        <f t="shared" si="9"/>
        <v>30074.49</v>
      </c>
      <c r="AM42" s="259">
        <f t="shared" si="9"/>
        <v>36128.959999999999</v>
      </c>
      <c r="AN42" s="259">
        <f t="shared" si="9"/>
        <v>14961.85</v>
      </c>
      <c r="AO42" s="259">
        <f t="shared" si="9"/>
        <v>23158.720000000001</v>
      </c>
      <c r="AP42" s="259">
        <f t="shared" si="9"/>
        <v>16741</v>
      </c>
      <c r="AQ42" s="259">
        <f t="shared" si="9"/>
        <v>51919</v>
      </c>
      <c r="AR42" s="259">
        <f t="shared" si="9"/>
        <v>31080</v>
      </c>
      <c r="AS42" s="259">
        <f t="shared" si="9"/>
        <v>23182</v>
      </c>
      <c r="AT42" s="259">
        <f t="shared" si="9"/>
        <v>18690</v>
      </c>
      <c r="AU42" s="259">
        <f t="shared" si="9"/>
        <v>22005</v>
      </c>
      <c r="AV42" s="259">
        <f t="shared" si="9"/>
        <v>20797</v>
      </c>
      <c r="AW42" s="259">
        <f t="shared" si="9"/>
        <v>11273</v>
      </c>
      <c r="AX42" s="259">
        <f t="shared" si="9"/>
        <v>15524</v>
      </c>
      <c r="AY42" s="259">
        <f t="shared" si="9"/>
        <v>21848</v>
      </c>
      <c r="AZ42" s="259">
        <f t="shared" si="9"/>
        <v>16918</v>
      </c>
      <c r="BA42" s="259">
        <f t="shared" si="9"/>
        <v>10151</v>
      </c>
      <c r="BB42" s="259">
        <f t="shared" si="9"/>
        <v>13827</v>
      </c>
      <c r="BC42" s="259">
        <f t="shared" si="9"/>
        <v>15027.34</v>
      </c>
      <c r="BD42" s="259">
        <f t="shared" si="9"/>
        <v>19688</v>
      </c>
      <c r="BE42" s="259">
        <f t="shared" si="9"/>
        <v>25557</v>
      </c>
      <c r="BF42" s="259">
        <f t="shared" si="9"/>
        <v>35813.29</v>
      </c>
      <c r="BG42" s="259">
        <f t="shared" si="9"/>
        <v>22968.06</v>
      </c>
      <c r="BH42" s="259">
        <f t="shared" si="9"/>
        <v>22848</v>
      </c>
      <c r="BI42" s="259">
        <f t="shared" si="9"/>
        <v>16048.96</v>
      </c>
      <c r="BJ42" s="259">
        <f t="shared" si="9"/>
        <v>22341.919999999998</v>
      </c>
      <c r="BK42" s="259">
        <f t="shared" si="9"/>
        <v>28442.69</v>
      </c>
      <c r="BL42" s="259">
        <f t="shared" si="9"/>
        <v>7859.12</v>
      </c>
      <c r="BM42" s="259">
        <f t="shared" si="9"/>
        <v>16524.670000000002</v>
      </c>
      <c r="BN42" s="259">
        <f t="shared" si="9"/>
        <v>17025.97</v>
      </c>
      <c r="BO42" s="259">
        <f t="shared" si="9"/>
        <v>17015</v>
      </c>
      <c r="BP42" s="259">
        <f t="shared" si="9"/>
        <v>9757.08</v>
      </c>
      <c r="BQ42" s="259">
        <f t="shared" si="9"/>
        <v>27000</v>
      </c>
      <c r="BR42" s="259">
        <f t="shared" si="9"/>
        <v>28225.940000000002</v>
      </c>
      <c r="BS42" s="259">
        <f t="shared" si="9"/>
        <v>4304.3599999999997</v>
      </c>
      <c r="BT42" s="259">
        <f>+BT8</f>
        <v>0</v>
      </c>
      <c r="BU42" s="259">
        <f>+BU8</f>
        <v>2660.57</v>
      </c>
      <c r="BV42" s="258"/>
      <c r="BW42" s="763" t="s">
        <v>304</v>
      </c>
      <c r="BX42" s="911"/>
    </row>
    <row r="43" spans="1:76" x14ac:dyDescent="0.25">
      <c r="C43" s="5"/>
      <c r="F43" s="1"/>
    </row>
    <row r="91" spans="4:68" x14ac:dyDescent="0.25">
      <c r="D91"/>
      <c r="E91"/>
      <c r="F91" s="13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row>
    <row r="92" spans="4:68" x14ac:dyDescent="0.25">
      <c r="D92"/>
      <c r="E92"/>
      <c r="F92" s="131"/>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row>
    <row r="93" spans="4:68" x14ac:dyDescent="0.25">
      <c r="D93"/>
      <c r="E93"/>
      <c r="F93" s="131"/>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row>
    <row r="94" spans="4:68" x14ac:dyDescent="0.25">
      <c r="D94"/>
      <c r="E94"/>
      <c r="F94" s="131"/>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row>
    <row r="95" spans="4:68" x14ac:dyDescent="0.25">
      <c r="D95"/>
      <c r="E95"/>
      <c r="F95" s="131"/>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row>
    <row r="96" spans="4:68" x14ac:dyDescent="0.25">
      <c r="D96"/>
      <c r="E96"/>
      <c r="F96" s="131"/>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4:68" x14ac:dyDescent="0.25">
      <c r="D97"/>
      <c r="E97"/>
      <c r="F97" s="131"/>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4:68" x14ac:dyDescent="0.25">
      <c r="D98"/>
      <c r="E98"/>
      <c r="F98" s="131"/>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4:68" x14ac:dyDescent="0.25">
      <c r="D99"/>
      <c r="E99"/>
      <c r="F99" s="131"/>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4:68" x14ac:dyDescent="0.25">
      <c r="D100"/>
      <c r="E100"/>
      <c r="F100" s="131"/>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4:68" x14ac:dyDescent="0.25">
      <c r="D101"/>
      <c r="E101"/>
      <c r="F101" s="13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4:68" x14ac:dyDescent="0.25">
      <c r="D102"/>
      <c r="E102"/>
      <c r="F102" s="131"/>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4:68" x14ac:dyDescent="0.25">
      <c r="D103"/>
      <c r="E103"/>
      <c r="F103" s="131"/>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4:68" x14ac:dyDescent="0.25">
      <c r="D104"/>
      <c r="E104"/>
      <c r="F104" s="131"/>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4:68" x14ac:dyDescent="0.25">
      <c r="D105"/>
      <c r="E105"/>
      <c r="F105" s="131"/>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4:68" x14ac:dyDescent="0.25">
      <c r="D106"/>
      <c r="E106"/>
      <c r="F106" s="131"/>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4:68" x14ac:dyDescent="0.25">
      <c r="D107"/>
      <c r="E107"/>
      <c r="F107" s="131"/>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4:68" x14ac:dyDescent="0.25">
      <c r="D108"/>
      <c r="E108"/>
      <c r="F108" s="131"/>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4:68" x14ac:dyDescent="0.25">
      <c r="D109"/>
      <c r="E109"/>
      <c r="F109" s="131"/>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4:68" x14ac:dyDescent="0.25">
      <c r="D110"/>
      <c r="E110"/>
      <c r="F110" s="131"/>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4:68" x14ac:dyDescent="0.25">
      <c r="D111"/>
      <c r="E111"/>
      <c r="F111" s="13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4:68" x14ac:dyDescent="0.25">
      <c r="D112"/>
      <c r="E112"/>
      <c r="F112" s="131"/>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4:68" x14ac:dyDescent="0.25">
      <c r="D113"/>
      <c r="E113"/>
      <c r="F113" s="131"/>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4:68" x14ac:dyDescent="0.25">
      <c r="D114"/>
      <c r="E114"/>
      <c r="F114" s="13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4:68" x14ac:dyDescent="0.25">
      <c r="D115"/>
      <c r="E115"/>
      <c r="F115" s="131"/>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4:68" x14ac:dyDescent="0.25">
      <c r="D116"/>
      <c r="E116"/>
      <c r="F116" s="131"/>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4:68" x14ac:dyDescent="0.25">
      <c r="D117"/>
      <c r="E117"/>
      <c r="F117" s="131"/>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4:68" x14ac:dyDescent="0.25">
      <c r="D118"/>
      <c r="E118"/>
      <c r="F118" s="131"/>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4:68" x14ac:dyDescent="0.25">
      <c r="D119"/>
      <c r="E119"/>
      <c r="F119" s="131"/>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4:68" x14ac:dyDescent="0.25">
      <c r="D120"/>
      <c r="E120"/>
      <c r="G120"/>
      <c r="H120"/>
      <c r="I120"/>
      <c r="J120"/>
      <c r="K120"/>
      <c r="L120"/>
      <c r="M120"/>
      <c r="N120"/>
      <c r="O120"/>
      <c r="P120"/>
      <c r="Q120"/>
      <c r="R120"/>
      <c r="S120"/>
      <c r="T120"/>
      <c r="U120"/>
      <c r="V120"/>
      <c r="W120"/>
      <c r="X120"/>
      <c r="Y120"/>
      <c r="Z120"/>
      <c r="AA120"/>
      <c r="AB120"/>
      <c r="AC120"/>
      <c r="AD120" s="45"/>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row>
    <row r="121" spans="4:68" x14ac:dyDescent="0.25">
      <c r="D121"/>
      <c r="E121"/>
      <c r="G121"/>
      <c r="H121"/>
      <c r="I121"/>
      <c r="J121"/>
      <c r="K121"/>
      <c r="L121"/>
      <c r="M121"/>
      <c r="N121"/>
      <c r="O121"/>
      <c r="P121"/>
      <c r="Q121"/>
      <c r="R121"/>
      <c r="S121"/>
      <c r="T121"/>
      <c r="U121"/>
      <c r="V121"/>
      <c r="W121"/>
      <c r="X121"/>
      <c r="Y121"/>
      <c r="Z121"/>
      <c r="AA121"/>
      <c r="AB121"/>
      <c r="AC121"/>
      <c r="AD121" s="45"/>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row>
    <row r="122" spans="4:68" x14ac:dyDescent="0.25">
      <c r="D122"/>
      <c r="E122"/>
      <c r="G122"/>
      <c r="H122"/>
      <c r="I122"/>
      <c r="J122"/>
      <c r="K122"/>
      <c r="L122"/>
      <c r="M122"/>
      <c r="N122"/>
      <c r="O122"/>
      <c r="P122"/>
      <c r="Q122"/>
      <c r="R122"/>
      <c r="S122"/>
      <c r="T122"/>
      <c r="U122"/>
      <c r="V122"/>
      <c r="W122"/>
      <c r="X122"/>
      <c r="Y122"/>
      <c r="Z122"/>
      <c r="AA122"/>
      <c r="AB122"/>
      <c r="AC122"/>
      <c r="AD122" s="45"/>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row>
    <row r="123" spans="4:68" x14ac:dyDescent="0.25">
      <c r="D123"/>
      <c r="E123"/>
      <c r="G123"/>
      <c r="H123"/>
      <c r="I123"/>
      <c r="J123"/>
      <c r="K123"/>
      <c r="L123"/>
      <c r="M123"/>
      <c r="N123"/>
      <c r="O123"/>
      <c r="P123"/>
      <c r="Q123"/>
      <c r="R123"/>
      <c r="S123"/>
      <c r="T123"/>
      <c r="U123"/>
      <c r="V123"/>
      <c r="W123"/>
      <c r="X123"/>
      <c r="Y123"/>
      <c r="Z123"/>
      <c r="AA123"/>
      <c r="AB123"/>
      <c r="AC123"/>
      <c r="AD123" s="45"/>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row>
    <row r="124" spans="4:68" x14ac:dyDescent="0.25">
      <c r="E124"/>
      <c r="G124"/>
      <c r="H124"/>
      <c r="I124"/>
    </row>
    <row r="125" spans="4:68" x14ac:dyDescent="0.25">
      <c r="E125"/>
      <c r="G125"/>
      <c r="H125"/>
      <c r="I125"/>
    </row>
    <row r="126" spans="4:68" x14ac:dyDescent="0.25">
      <c r="E126"/>
      <c r="G126"/>
      <c r="H126"/>
      <c r="I126"/>
    </row>
    <row r="127" spans="4:68" x14ac:dyDescent="0.25">
      <c r="E127"/>
      <c r="G127"/>
      <c r="H127"/>
      <c r="I127"/>
    </row>
    <row r="128" spans="4:68" x14ac:dyDescent="0.25">
      <c r="E128"/>
      <c r="G128"/>
      <c r="H128"/>
      <c r="I128"/>
    </row>
    <row r="129" spans="5:9" x14ac:dyDescent="0.25">
      <c r="E129"/>
      <c r="G129"/>
      <c r="H129"/>
      <c r="I129"/>
    </row>
    <row r="130" spans="5:9" x14ac:dyDescent="0.25">
      <c r="E130"/>
      <c r="G130"/>
      <c r="H130"/>
      <c r="I130"/>
    </row>
    <row r="131" spans="5:9" x14ac:dyDescent="0.25">
      <c r="E131"/>
      <c r="G131"/>
      <c r="H131"/>
      <c r="I131"/>
    </row>
    <row r="132" spans="5:9" x14ac:dyDescent="0.25">
      <c r="E132"/>
      <c r="G132"/>
      <c r="H132"/>
      <c r="I132"/>
    </row>
    <row r="133" spans="5:9" x14ac:dyDescent="0.25">
      <c r="E133"/>
      <c r="G133"/>
      <c r="H133"/>
      <c r="I133"/>
    </row>
    <row r="134" spans="5:9" x14ac:dyDescent="0.25">
      <c r="E134"/>
      <c r="G134"/>
      <c r="H134"/>
      <c r="I134"/>
    </row>
    <row r="135" spans="5:9" x14ac:dyDescent="0.25">
      <c r="E135"/>
      <c r="F135" s="131"/>
      <c r="G135"/>
      <c r="H135"/>
      <c r="I135"/>
    </row>
    <row r="136" spans="5:9" x14ac:dyDescent="0.25">
      <c r="E136"/>
      <c r="F136" s="131"/>
      <c r="G136"/>
      <c r="H136"/>
      <c r="I136"/>
    </row>
    <row r="137" spans="5:9" x14ac:dyDescent="0.25">
      <c r="E137"/>
      <c r="F137" s="131"/>
      <c r="G137"/>
      <c r="H137"/>
      <c r="I137"/>
    </row>
    <row r="138" spans="5:9" x14ac:dyDescent="0.25">
      <c r="E138"/>
      <c r="F138" s="131"/>
      <c r="G138"/>
      <c r="H138"/>
      <c r="I138"/>
    </row>
    <row r="139" spans="5:9" x14ac:dyDescent="0.25">
      <c r="E139"/>
      <c r="F139" s="131"/>
      <c r="G139"/>
      <c r="H139"/>
      <c r="I139"/>
    </row>
    <row r="140" spans="5:9" x14ac:dyDescent="0.25">
      <c r="E140"/>
      <c r="F140" s="131"/>
      <c r="G140"/>
      <c r="H140"/>
      <c r="I140"/>
    </row>
    <row r="141" spans="5:9" x14ac:dyDescent="0.25">
      <c r="E141"/>
      <c r="F141" s="131"/>
      <c r="G141"/>
      <c r="H141"/>
      <c r="I141"/>
    </row>
    <row r="142" spans="5:9" x14ac:dyDescent="0.25">
      <c r="E142"/>
      <c r="F142" s="131"/>
      <c r="G142"/>
      <c r="H142"/>
      <c r="I142"/>
    </row>
    <row r="143" spans="5:9" x14ac:dyDescent="0.25">
      <c r="E143"/>
      <c r="F143" s="131"/>
      <c r="G143"/>
      <c r="H143"/>
      <c r="I143"/>
    </row>
    <row r="144" spans="5:9" x14ac:dyDescent="0.25">
      <c r="E144"/>
      <c r="F144" s="131"/>
      <c r="G144"/>
      <c r="H144"/>
      <c r="I144"/>
    </row>
    <row r="145" spans="5:9" x14ac:dyDescent="0.25">
      <c r="E145"/>
      <c r="F145" s="131"/>
      <c r="G145"/>
      <c r="H145"/>
      <c r="I145"/>
    </row>
    <row r="146" spans="5:9" x14ac:dyDescent="0.25">
      <c r="E146"/>
      <c r="F146" s="131"/>
      <c r="G146"/>
      <c r="H146"/>
      <c r="I146"/>
    </row>
    <row r="147" spans="5:9" x14ac:dyDescent="0.25">
      <c r="E147"/>
      <c r="F147" s="131"/>
      <c r="G147"/>
      <c r="H147"/>
      <c r="I147"/>
    </row>
    <row r="148" spans="5:9" x14ac:dyDescent="0.25">
      <c r="E148"/>
      <c r="F148" s="131"/>
      <c r="G148"/>
      <c r="H148"/>
      <c r="I148"/>
    </row>
    <row r="149" spans="5:9" x14ac:dyDescent="0.25">
      <c r="E149"/>
      <c r="F149" s="131"/>
      <c r="G149"/>
      <c r="H149"/>
      <c r="I149"/>
    </row>
    <row r="150" spans="5:9" x14ac:dyDescent="0.25">
      <c r="E150"/>
      <c r="F150" s="131"/>
      <c r="G150"/>
      <c r="H150"/>
      <c r="I150"/>
    </row>
    <row r="151" spans="5:9" x14ac:dyDescent="0.25">
      <c r="E151"/>
      <c r="F151" s="131"/>
      <c r="G151"/>
      <c r="H151"/>
      <c r="I151"/>
    </row>
    <row r="152" spans="5:9" x14ac:dyDescent="0.25">
      <c r="E152"/>
      <c r="F152" s="131"/>
      <c r="G152"/>
      <c r="H152"/>
      <c r="I152"/>
    </row>
    <row r="153" spans="5:9" x14ac:dyDescent="0.25">
      <c r="E153"/>
      <c r="F153" s="131"/>
      <c r="G153"/>
      <c r="H153"/>
      <c r="I153"/>
    </row>
    <row r="154" spans="5:9" x14ac:dyDescent="0.25">
      <c r="E154"/>
      <c r="F154" s="131"/>
      <c r="G154"/>
      <c r="H154"/>
      <c r="I154"/>
    </row>
    <row r="155" spans="5:9" x14ac:dyDescent="0.25">
      <c r="E155"/>
      <c r="F155" s="131"/>
      <c r="G155"/>
      <c r="H155"/>
      <c r="I155"/>
    </row>
    <row r="156" spans="5:9" x14ac:dyDescent="0.25">
      <c r="E156"/>
      <c r="F156" s="131"/>
      <c r="G156"/>
      <c r="H156"/>
      <c r="I156"/>
    </row>
    <row r="157" spans="5:9" x14ac:dyDescent="0.25">
      <c r="E157"/>
      <c r="F157" s="131"/>
      <c r="G157"/>
      <c r="H157"/>
      <c r="I157"/>
    </row>
    <row r="158" spans="5:9" x14ac:dyDescent="0.25">
      <c r="E158"/>
      <c r="F158" s="131"/>
      <c r="G158"/>
      <c r="H158"/>
      <c r="I158"/>
    </row>
    <row r="159" spans="5:9" x14ac:dyDescent="0.25">
      <c r="E159"/>
      <c r="F159" s="131"/>
      <c r="G159"/>
      <c r="H159"/>
      <c r="I159"/>
    </row>
    <row r="160" spans="5:9" x14ac:dyDescent="0.25">
      <c r="E160"/>
      <c r="F160" s="131"/>
      <c r="G160"/>
      <c r="H160"/>
      <c r="I160"/>
    </row>
    <row r="161" spans="5:9" x14ac:dyDescent="0.25">
      <c r="E161"/>
      <c r="F161" s="131"/>
      <c r="G161"/>
      <c r="H161"/>
      <c r="I161"/>
    </row>
    <row r="162" spans="5:9" x14ac:dyDescent="0.25">
      <c r="E162"/>
      <c r="F162" s="131"/>
      <c r="G162"/>
      <c r="H162"/>
      <c r="I162"/>
    </row>
    <row r="163" spans="5:9" x14ac:dyDescent="0.25">
      <c r="E163"/>
      <c r="F163" s="131"/>
      <c r="G163"/>
      <c r="H163"/>
      <c r="I163"/>
    </row>
    <row r="164" spans="5:9" x14ac:dyDescent="0.25">
      <c r="E164"/>
      <c r="F164" s="131"/>
      <c r="G164"/>
      <c r="H164"/>
      <c r="I164"/>
    </row>
    <row r="165" spans="5:9" x14ac:dyDescent="0.25">
      <c r="E165"/>
      <c r="F165" s="131"/>
      <c r="G165"/>
      <c r="H165"/>
      <c r="I165"/>
    </row>
    <row r="166" spans="5:9" x14ac:dyDescent="0.25">
      <c r="E166"/>
      <c r="F166" s="131"/>
      <c r="G166"/>
      <c r="H166"/>
      <c r="I166"/>
    </row>
    <row r="167" spans="5:9" x14ac:dyDescent="0.25">
      <c r="E167"/>
      <c r="F167" s="131"/>
      <c r="G167"/>
      <c r="H167"/>
      <c r="I167"/>
    </row>
    <row r="168" spans="5:9" x14ac:dyDescent="0.25">
      <c r="E168"/>
      <c r="F168" s="131"/>
      <c r="G168"/>
      <c r="H168"/>
      <c r="I168"/>
    </row>
    <row r="169" spans="5:9" x14ac:dyDescent="0.25">
      <c r="E169"/>
      <c r="F169" s="131"/>
      <c r="G169"/>
      <c r="H169"/>
      <c r="I169"/>
    </row>
    <row r="170" spans="5:9" x14ac:dyDescent="0.25">
      <c r="E170"/>
      <c r="F170" s="131"/>
      <c r="G170"/>
      <c r="H170"/>
      <c r="I170"/>
    </row>
    <row r="171" spans="5:9" x14ac:dyDescent="0.25">
      <c r="E171"/>
      <c r="F171" s="131"/>
      <c r="G171"/>
      <c r="H171"/>
      <c r="I171"/>
    </row>
    <row r="172" spans="5:9" x14ac:dyDescent="0.25">
      <c r="E172"/>
      <c r="F172" s="131"/>
      <c r="G172"/>
      <c r="H172"/>
      <c r="I172"/>
    </row>
    <row r="173" spans="5:9" x14ac:dyDescent="0.25">
      <c r="E173"/>
      <c r="F173" s="131"/>
      <c r="G173"/>
      <c r="H173"/>
      <c r="I173"/>
    </row>
    <row r="174" spans="5:9" x14ac:dyDescent="0.25">
      <c r="E174"/>
      <c r="F174" s="131"/>
      <c r="G174"/>
      <c r="H174"/>
      <c r="I174"/>
    </row>
    <row r="175" spans="5:9" x14ac:dyDescent="0.25">
      <c r="E175"/>
      <c r="F175" s="131"/>
      <c r="G175"/>
      <c r="H175"/>
      <c r="I175"/>
    </row>
    <row r="176" spans="5:9" x14ac:dyDescent="0.25">
      <c r="E176"/>
      <c r="F176" s="131"/>
      <c r="G176"/>
      <c r="H176"/>
      <c r="I176"/>
    </row>
    <row r="177" spans="5:9" x14ac:dyDescent="0.25">
      <c r="E177"/>
      <c r="F177" s="131"/>
      <c r="G177"/>
      <c r="H177"/>
      <c r="I177"/>
    </row>
    <row r="178" spans="5:9" x14ac:dyDescent="0.25">
      <c r="E178"/>
      <c r="F178" s="131"/>
      <c r="G178"/>
      <c r="H178"/>
      <c r="I178"/>
    </row>
    <row r="179" spans="5:9" x14ac:dyDescent="0.25">
      <c r="E179"/>
      <c r="F179" s="131"/>
      <c r="G179"/>
      <c r="H179"/>
      <c r="I179"/>
    </row>
    <row r="180" spans="5:9" x14ac:dyDescent="0.25">
      <c r="E180"/>
      <c r="F180" s="131"/>
      <c r="G180"/>
      <c r="H180"/>
      <c r="I180"/>
    </row>
    <row r="181" spans="5:9" x14ac:dyDescent="0.25">
      <c r="E181"/>
      <c r="F181" s="131"/>
      <c r="G181"/>
      <c r="H181"/>
      <c r="I181"/>
    </row>
    <row r="182" spans="5:9" x14ac:dyDescent="0.25">
      <c r="E182"/>
      <c r="F182" s="131"/>
      <c r="G182"/>
      <c r="H182"/>
      <c r="I182"/>
    </row>
    <row r="183" spans="5:9" x14ac:dyDescent="0.25">
      <c r="E183"/>
      <c r="F183" s="131"/>
      <c r="G183"/>
      <c r="H183"/>
      <c r="I183"/>
    </row>
    <row r="184" spans="5:9" x14ac:dyDescent="0.25">
      <c r="E184"/>
      <c r="F184" s="131"/>
      <c r="G184"/>
      <c r="H184"/>
      <c r="I184"/>
    </row>
    <row r="185" spans="5:9" x14ac:dyDescent="0.25">
      <c r="E185"/>
      <c r="F185" s="131"/>
      <c r="G185"/>
      <c r="H185"/>
      <c r="I185"/>
    </row>
    <row r="186" spans="5:9" x14ac:dyDescent="0.25">
      <c r="E186"/>
      <c r="F186" s="131"/>
      <c r="G186"/>
      <c r="H186"/>
      <c r="I186"/>
    </row>
    <row r="187" spans="5:9" x14ac:dyDescent="0.25">
      <c r="E187"/>
      <c r="F187" s="131"/>
      <c r="G187"/>
      <c r="H187"/>
      <c r="I187"/>
    </row>
    <row r="188" spans="5:9" x14ac:dyDescent="0.25">
      <c r="E188"/>
      <c r="F188" s="131"/>
      <c r="G188"/>
      <c r="H188"/>
      <c r="I188"/>
    </row>
    <row r="189" spans="5:9" x14ac:dyDescent="0.25">
      <c r="E189"/>
      <c r="F189" s="131"/>
      <c r="G189"/>
      <c r="H189"/>
      <c r="I189"/>
    </row>
    <row r="190" spans="5:9" x14ac:dyDescent="0.25">
      <c r="E190"/>
      <c r="F190" s="131"/>
      <c r="G190"/>
      <c r="H190"/>
      <c r="I190"/>
    </row>
    <row r="191" spans="5:9" x14ac:dyDescent="0.25">
      <c r="E191"/>
      <c r="F191" s="131"/>
      <c r="G191"/>
      <c r="H191"/>
      <c r="I191"/>
    </row>
    <row r="192" spans="5:9" x14ac:dyDescent="0.25">
      <c r="E192"/>
      <c r="F192" s="131"/>
      <c r="G192"/>
      <c r="H192"/>
      <c r="I192"/>
    </row>
    <row r="193" spans="5:9" x14ac:dyDescent="0.25">
      <c r="E193"/>
      <c r="F193" s="131"/>
      <c r="G193"/>
      <c r="H193"/>
      <c r="I193"/>
    </row>
    <row r="194" spans="5:9" x14ac:dyDescent="0.25">
      <c r="E194"/>
      <c r="F194" s="131"/>
      <c r="G194"/>
      <c r="H194"/>
      <c r="I194"/>
    </row>
    <row r="195" spans="5:9" x14ac:dyDescent="0.25">
      <c r="E195"/>
      <c r="F195" s="131"/>
      <c r="G195"/>
      <c r="H195"/>
      <c r="I195"/>
    </row>
    <row r="196" spans="5:9" x14ac:dyDescent="0.25">
      <c r="E196"/>
      <c r="F196" s="131"/>
      <c r="G196"/>
      <c r="H196"/>
      <c r="I196"/>
    </row>
    <row r="197" spans="5:9" x14ac:dyDescent="0.25">
      <c r="E197"/>
      <c r="F197" s="131"/>
      <c r="G197"/>
      <c r="H197"/>
      <c r="I197"/>
    </row>
    <row r="198" spans="5:9" x14ac:dyDescent="0.25">
      <c r="E198"/>
      <c r="F198" s="131"/>
      <c r="G198"/>
      <c r="H198"/>
      <c r="I198"/>
    </row>
    <row r="199" spans="5:9" x14ac:dyDescent="0.25">
      <c r="E199"/>
      <c r="F199" s="131"/>
      <c r="G199"/>
      <c r="H199"/>
      <c r="I199"/>
    </row>
    <row r="200" spans="5:9" x14ac:dyDescent="0.25">
      <c r="E200"/>
      <c r="F200" s="131"/>
      <c r="G200"/>
      <c r="H200"/>
      <c r="I200"/>
    </row>
    <row r="201" spans="5:9" x14ac:dyDescent="0.25">
      <c r="E201"/>
      <c r="F201" s="131"/>
      <c r="G201"/>
      <c r="H201"/>
      <c r="I201"/>
    </row>
    <row r="202" spans="5:9" x14ac:dyDescent="0.25">
      <c r="E202"/>
      <c r="F202" s="131"/>
      <c r="G202"/>
      <c r="H202"/>
      <c r="I202"/>
    </row>
    <row r="203" spans="5:9" x14ac:dyDescent="0.25">
      <c r="E203"/>
      <c r="F203" s="131"/>
      <c r="G203"/>
      <c r="H203"/>
      <c r="I203"/>
    </row>
    <row r="204" spans="5:9" x14ac:dyDescent="0.25">
      <c r="E204"/>
      <c r="F204" s="131"/>
      <c r="G204"/>
      <c r="H204"/>
      <c r="I204"/>
    </row>
    <row r="205" spans="5:9" x14ac:dyDescent="0.25">
      <c r="E205"/>
      <c r="F205" s="131"/>
      <c r="G205"/>
      <c r="H205"/>
      <c r="I205"/>
    </row>
    <row r="206" spans="5:9" x14ac:dyDescent="0.25">
      <c r="E206"/>
      <c r="F206" s="131"/>
      <c r="G206"/>
      <c r="H206"/>
      <c r="I206"/>
    </row>
    <row r="207" spans="5:9" x14ac:dyDescent="0.25">
      <c r="E207"/>
      <c r="F207" s="131"/>
      <c r="G207"/>
      <c r="H207"/>
      <c r="I207"/>
    </row>
    <row r="208" spans="5:9" x14ac:dyDescent="0.25">
      <c r="E208"/>
      <c r="F208" s="131"/>
      <c r="G208"/>
      <c r="H208"/>
      <c r="I208"/>
    </row>
    <row r="209" spans="5:9" x14ac:dyDescent="0.25">
      <c r="E209"/>
      <c r="F209" s="131"/>
      <c r="G209"/>
      <c r="H209"/>
      <c r="I209"/>
    </row>
    <row r="210" spans="5:9" x14ac:dyDescent="0.25">
      <c r="E210"/>
      <c r="F210" s="131"/>
      <c r="G210"/>
      <c r="H210"/>
      <c r="I210"/>
    </row>
    <row r="211" spans="5:9" x14ac:dyDescent="0.25">
      <c r="E211"/>
      <c r="F211" s="131"/>
      <c r="G211"/>
      <c r="H211"/>
      <c r="I211"/>
    </row>
    <row r="212" spans="5:9" x14ac:dyDescent="0.25">
      <c r="E212"/>
      <c r="F212" s="131"/>
      <c r="G212"/>
      <c r="H212"/>
      <c r="I212"/>
    </row>
    <row r="213" spans="5:9" x14ac:dyDescent="0.25">
      <c r="E213"/>
      <c r="F213" s="131"/>
      <c r="G213"/>
      <c r="H213"/>
      <c r="I213"/>
    </row>
    <row r="214" spans="5:9" x14ac:dyDescent="0.25">
      <c r="E214"/>
      <c r="F214" s="131"/>
      <c r="G214"/>
      <c r="H214"/>
      <c r="I214"/>
    </row>
    <row r="215" spans="5:9" x14ac:dyDescent="0.25">
      <c r="E215"/>
      <c r="F215" s="131"/>
      <c r="G215"/>
      <c r="H215"/>
      <c r="I215"/>
    </row>
    <row r="216" spans="5:9" x14ac:dyDescent="0.25">
      <c r="E216"/>
      <c r="F216" s="131"/>
      <c r="G216"/>
      <c r="H216"/>
      <c r="I216"/>
    </row>
    <row r="217" spans="5:9" x14ac:dyDescent="0.25">
      <c r="E217"/>
      <c r="F217" s="131"/>
      <c r="G217"/>
      <c r="H217"/>
      <c r="I217"/>
    </row>
    <row r="218" spans="5:9" x14ac:dyDescent="0.25">
      <c r="E218"/>
      <c r="F218" s="131"/>
      <c r="G218"/>
      <c r="H218"/>
      <c r="I218"/>
    </row>
    <row r="219" spans="5:9" x14ac:dyDescent="0.25">
      <c r="E219"/>
      <c r="F219" s="131"/>
      <c r="G219"/>
      <c r="H219"/>
      <c r="I219"/>
    </row>
    <row r="220" spans="5:9" x14ac:dyDescent="0.25">
      <c r="E220"/>
      <c r="F220" s="131"/>
      <c r="G220"/>
      <c r="H220"/>
      <c r="I220"/>
    </row>
    <row r="221" spans="5:9" x14ac:dyDescent="0.25">
      <c r="E221"/>
      <c r="F221" s="131"/>
      <c r="G221"/>
      <c r="H221"/>
      <c r="I221"/>
    </row>
    <row r="222" spans="5:9" x14ac:dyDescent="0.25">
      <c r="E222"/>
      <c r="F222" s="131"/>
      <c r="G222"/>
      <c r="H222"/>
      <c r="I222"/>
    </row>
    <row r="223" spans="5:9" x14ac:dyDescent="0.25">
      <c r="E223"/>
      <c r="F223" s="131"/>
      <c r="G223"/>
      <c r="H223"/>
      <c r="I223"/>
    </row>
    <row r="224" spans="5:9" x14ac:dyDescent="0.25">
      <c r="E224"/>
      <c r="F224" s="131"/>
      <c r="G224"/>
      <c r="H224"/>
      <c r="I224"/>
    </row>
    <row r="225" spans="5:9" x14ac:dyDescent="0.25">
      <c r="E225"/>
      <c r="F225" s="131"/>
      <c r="G225"/>
      <c r="H225"/>
      <c r="I225"/>
    </row>
    <row r="226" spans="5:9" x14ac:dyDescent="0.25">
      <c r="E226"/>
      <c r="F226" s="131"/>
      <c r="G226"/>
      <c r="H226"/>
      <c r="I226"/>
    </row>
    <row r="227" spans="5:9" x14ac:dyDescent="0.25">
      <c r="E227"/>
      <c r="F227" s="131"/>
      <c r="G227"/>
      <c r="H227"/>
      <c r="I227"/>
    </row>
    <row r="228" spans="5:9" x14ac:dyDescent="0.25">
      <c r="E228"/>
      <c r="F228" s="131"/>
      <c r="G228"/>
      <c r="H228"/>
      <c r="I228"/>
    </row>
    <row r="229" spans="5:9" x14ac:dyDescent="0.25">
      <c r="E229"/>
      <c r="F229" s="131"/>
      <c r="G229"/>
      <c r="H229"/>
      <c r="I229"/>
    </row>
    <row r="230" spans="5:9" x14ac:dyDescent="0.25">
      <c r="E230"/>
      <c r="F230" s="131"/>
      <c r="G230"/>
      <c r="H230"/>
      <c r="I230"/>
    </row>
    <row r="231" spans="5:9" x14ac:dyDescent="0.25">
      <c r="E231"/>
      <c r="F231" s="131"/>
      <c r="G231"/>
      <c r="H231"/>
      <c r="I231"/>
    </row>
    <row r="232" spans="5:9" x14ac:dyDescent="0.25">
      <c r="E232"/>
      <c r="F232" s="131"/>
      <c r="G232"/>
      <c r="H232"/>
      <c r="I232"/>
    </row>
    <row r="233" spans="5:9" x14ac:dyDescent="0.25">
      <c r="E233"/>
      <c r="F233" s="131"/>
      <c r="G233"/>
      <c r="H233"/>
      <c r="I233"/>
    </row>
    <row r="234" spans="5:9" x14ac:dyDescent="0.25">
      <c r="E234"/>
      <c r="F234" s="131"/>
      <c r="G234"/>
      <c r="H234"/>
      <c r="I234"/>
    </row>
    <row r="235" spans="5:9" x14ac:dyDescent="0.25">
      <c r="E235"/>
      <c r="F235" s="131"/>
      <c r="G235"/>
      <c r="H235"/>
      <c r="I235"/>
    </row>
    <row r="236" spans="5:9" x14ac:dyDescent="0.25">
      <c r="E236"/>
      <c r="F236" s="131"/>
      <c r="G236"/>
      <c r="H236"/>
      <c r="I236"/>
    </row>
    <row r="237" spans="5:9" x14ac:dyDescent="0.25">
      <c r="E237"/>
      <c r="F237" s="131"/>
      <c r="G237"/>
      <c r="H237"/>
      <c r="I237"/>
    </row>
    <row r="238" spans="5:9" x14ac:dyDescent="0.25">
      <c r="E238"/>
      <c r="F238" s="131"/>
      <c r="G238"/>
      <c r="H238"/>
      <c r="I238"/>
    </row>
    <row r="239" spans="5:9" x14ac:dyDescent="0.25">
      <c r="E239"/>
      <c r="F239" s="131"/>
      <c r="G239"/>
      <c r="H239"/>
      <c r="I239"/>
    </row>
    <row r="240" spans="5:9" x14ac:dyDescent="0.25">
      <c r="E240"/>
      <c r="F240" s="131"/>
      <c r="G240"/>
      <c r="H240"/>
      <c r="I240"/>
    </row>
    <row r="241" spans="5:9" x14ac:dyDescent="0.25">
      <c r="E241"/>
      <c r="F241" s="131"/>
      <c r="G241"/>
      <c r="H241"/>
      <c r="I241"/>
    </row>
    <row r="242" spans="5:9" x14ac:dyDescent="0.25">
      <c r="E242"/>
      <c r="F242" s="131"/>
      <c r="G242"/>
      <c r="H242"/>
      <c r="I242"/>
    </row>
    <row r="243" spans="5:9" x14ac:dyDescent="0.25">
      <c r="E243"/>
      <c r="F243" s="131"/>
      <c r="G243"/>
      <c r="H243"/>
      <c r="I243"/>
    </row>
    <row r="244" spans="5:9" x14ac:dyDescent="0.25">
      <c r="E244"/>
      <c r="F244" s="131"/>
      <c r="G244"/>
      <c r="H244"/>
      <c r="I244"/>
    </row>
    <row r="245" spans="5:9" x14ac:dyDescent="0.25">
      <c r="E245"/>
      <c r="F245" s="131"/>
      <c r="G245"/>
      <c r="H245"/>
      <c r="I245"/>
    </row>
    <row r="246" spans="5:9" x14ac:dyDescent="0.25">
      <c r="E246"/>
      <c r="F246" s="131"/>
      <c r="G246"/>
      <c r="H246"/>
      <c r="I246"/>
    </row>
    <row r="247" spans="5:9" x14ac:dyDescent="0.25">
      <c r="E247"/>
      <c r="F247" s="131"/>
      <c r="G247"/>
      <c r="H247"/>
      <c r="I247"/>
    </row>
    <row r="248" spans="5:9" x14ac:dyDescent="0.25">
      <c r="E248"/>
      <c r="F248" s="131"/>
      <c r="G248"/>
      <c r="H248"/>
      <c r="I248"/>
    </row>
    <row r="249" spans="5:9" x14ac:dyDescent="0.25">
      <c r="E249"/>
      <c r="F249" s="131"/>
      <c r="G249"/>
      <c r="H249"/>
      <c r="I249"/>
    </row>
    <row r="250" spans="5:9" x14ac:dyDescent="0.25">
      <c r="E250"/>
      <c r="F250" s="131"/>
      <c r="G250"/>
      <c r="H250"/>
      <c r="I250"/>
    </row>
    <row r="251" spans="5:9" x14ac:dyDescent="0.25">
      <c r="E251"/>
      <c r="F251" s="131"/>
      <c r="G251"/>
      <c r="H251"/>
      <c r="I251"/>
    </row>
    <row r="252" spans="5:9" x14ac:dyDescent="0.25">
      <c r="E252"/>
      <c r="F252" s="131"/>
      <c r="G252"/>
      <c r="H252"/>
      <c r="I252"/>
    </row>
    <row r="253" spans="5:9" x14ac:dyDescent="0.25">
      <c r="E253"/>
      <c r="F253" s="131"/>
      <c r="G253"/>
      <c r="H253"/>
      <c r="I253"/>
    </row>
    <row r="254" spans="5:9" x14ac:dyDescent="0.25">
      <c r="E254"/>
      <c r="F254" s="131"/>
      <c r="G254"/>
      <c r="H254"/>
      <c r="I254"/>
    </row>
    <row r="255" spans="5:9" x14ac:dyDescent="0.25">
      <c r="E255"/>
      <c r="F255" s="131"/>
      <c r="G255"/>
      <c r="H255"/>
      <c r="I255"/>
    </row>
    <row r="256" spans="5:9" x14ac:dyDescent="0.25">
      <c r="E256"/>
      <c r="F256" s="131"/>
      <c r="G256"/>
      <c r="H256"/>
      <c r="I256"/>
    </row>
    <row r="257" spans="5:9" x14ac:dyDescent="0.25">
      <c r="E257"/>
      <c r="F257" s="131"/>
      <c r="G257"/>
      <c r="H257"/>
      <c r="I257"/>
    </row>
    <row r="258" spans="5:9" x14ac:dyDescent="0.25">
      <c r="E258"/>
      <c r="F258" s="131"/>
      <c r="G258"/>
      <c r="H258"/>
      <c r="I258"/>
    </row>
    <row r="259" spans="5:9" x14ac:dyDescent="0.25">
      <c r="E259"/>
      <c r="F259" s="131"/>
      <c r="G259"/>
      <c r="H259"/>
      <c r="I259"/>
    </row>
    <row r="260" spans="5:9" x14ac:dyDescent="0.25">
      <c r="E260"/>
      <c r="F260" s="131"/>
      <c r="G260"/>
      <c r="H260"/>
      <c r="I260"/>
    </row>
    <row r="261" spans="5:9" x14ac:dyDescent="0.25">
      <c r="E261"/>
      <c r="F261" s="131"/>
      <c r="G261"/>
      <c r="H261"/>
      <c r="I261"/>
    </row>
    <row r="262" spans="5:9" x14ac:dyDescent="0.25">
      <c r="E262"/>
      <c r="F262" s="131"/>
      <c r="G262"/>
      <c r="H262"/>
      <c r="I262"/>
    </row>
    <row r="263" spans="5:9" x14ac:dyDescent="0.25">
      <c r="E263"/>
      <c r="F263" s="131"/>
      <c r="G263"/>
      <c r="H263"/>
      <c r="I263"/>
    </row>
    <row r="264" spans="5:9" x14ac:dyDescent="0.25">
      <c r="E264"/>
      <c r="F264" s="131"/>
      <c r="G264"/>
      <c r="H264"/>
      <c r="I264"/>
    </row>
    <row r="265" spans="5:9" x14ac:dyDescent="0.25">
      <c r="E265"/>
      <c r="F265" s="131"/>
      <c r="G265"/>
      <c r="H265"/>
      <c r="I265"/>
    </row>
    <row r="266" spans="5:9" x14ac:dyDescent="0.25">
      <c r="E266"/>
      <c r="F266" s="131"/>
      <c r="G266"/>
      <c r="H266"/>
      <c r="I266"/>
    </row>
    <row r="267" spans="5:9" x14ac:dyDescent="0.25">
      <c r="E267"/>
      <c r="F267" s="131"/>
      <c r="G267"/>
      <c r="H267"/>
      <c r="I267"/>
    </row>
    <row r="268" spans="5:9" x14ac:dyDescent="0.25">
      <c r="E268"/>
      <c r="F268" s="131"/>
      <c r="G268"/>
      <c r="H268"/>
      <c r="I268"/>
    </row>
    <row r="269" spans="5:9" x14ac:dyDescent="0.25">
      <c r="E269"/>
      <c r="F269" s="131"/>
      <c r="G269"/>
      <c r="H269"/>
      <c r="I269"/>
    </row>
    <row r="270" spans="5:9" x14ac:dyDescent="0.25">
      <c r="E270"/>
      <c r="F270" s="131"/>
      <c r="G270"/>
      <c r="H270"/>
      <c r="I270"/>
    </row>
    <row r="271" spans="5:9" x14ac:dyDescent="0.25">
      <c r="E271"/>
      <c r="F271" s="131"/>
      <c r="G271"/>
      <c r="H271"/>
      <c r="I271"/>
    </row>
    <row r="272" spans="5:9" x14ac:dyDescent="0.25">
      <c r="E272"/>
      <c r="F272" s="131"/>
      <c r="G272"/>
      <c r="H272"/>
      <c r="I272"/>
    </row>
    <row r="273" spans="5:9" x14ac:dyDescent="0.25">
      <c r="E273"/>
      <c r="F273" s="131"/>
      <c r="G273"/>
      <c r="H273"/>
      <c r="I273"/>
    </row>
    <row r="274" spans="5:9" x14ac:dyDescent="0.25">
      <c r="E274"/>
      <c r="F274" s="131"/>
      <c r="G274"/>
      <c r="H274"/>
      <c r="I274"/>
    </row>
    <row r="275" spans="5:9" x14ac:dyDescent="0.25">
      <c r="E275"/>
      <c r="F275" s="131"/>
      <c r="G275"/>
      <c r="H275"/>
      <c r="I275"/>
    </row>
    <row r="276" spans="5:9" x14ac:dyDescent="0.25">
      <c r="E276"/>
      <c r="F276" s="131"/>
      <c r="G276"/>
      <c r="H276"/>
      <c r="I276"/>
    </row>
    <row r="277" spans="5:9" x14ac:dyDescent="0.25">
      <c r="E277"/>
      <c r="F277" s="131"/>
      <c r="G277"/>
      <c r="H277"/>
      <c r="I277"/>
    </row>
    <row r="278" spans="5:9" x14ac:dyDescent="0.25">
      <c r="E278"/>
      <c r="F278" s="131"/>
      <c r="G278"/>
      <c r="H278"/>
      <c r="I278"/>
    </row>
    <row r="279" spans="5:9" x14ac:dyDescent="0.25">
      <c r="E279"/>
      <c r="F279" s="131"/>
      <c r="G279"/>
      <c r="H279"/>
      <c r="I279"/>
    </row>
    <row r="280" spans="5:9" x14ac:dyDescent="0.25">
      <c r="E280"/>
      <c r="F280" s="131"/>
      <c r="G280"/>
      <c r="H280"/>
      <c r="I280"/>
    </row>
    <row r="281" spans="5:9" x14ac:dyDescent="0.25">
      <c r="E281"/>
      <c r="F281" s="131"/>
      <c r="G281"/>
      <c r="H281"/>
      <c r="I281"/>
    </row>
    <row r="282" spans="5:9" x14ac:dyDescent="0.25">
      <c r="E282"/>
      <c r="F282" s="131"/>
      <c r="G282"/>
      <c r="H282"/>
      <c r="I282"/>
    </row>
    <row r="283" spans="5:9" x14ac:dyDescent="0.25">
      <c r="E283"/>
      <c r="F283" s="131"/>
      <c r="G283"/>
      <c r="H283"/>
      <c r="I283"/>
    </row>
    <row r="284" spans="5:9" x14ac:dyDescent="0.25">
      <c r="E284"/>
      <c r="F284" s="131"/>
      <c r="G284"/>
      <c r="H284"/>
      <c r="I284"/>
    </row>
    <row r="285" spans="5:9" x14ac:dyDescent="0.25">
      <c r="E285"/>
      <c r="F285" s="131"/>
      <c r="G285"/>
      <c r="H285"/>
      <c r="I285"/>
    </row>
    <row r="286" spans="5:9" x14ac:dyDescent="0.25">
      <c r="E286"/>
      <c r="F286" s="131"/>
      <c r="G286"/>
      <c r="H286"/>
      <c r="I286"/>
    </row>
    <row r="287" spans="5:9" x14ac:dyDescent="0.25">
      <c r="E287"/>
      <c r="F287" s="131"/>
      <c r="G287"/>
      <c r="H287"/>
      <c r="I287"/>
    </row>
    <row r="288" spans="5:9" x14ac:dyDescent="0.25">
      <c r="E288"/>
      <c r="F288" s="131"/>
      <c r="G288"/>
      <c r="H288"/>
      <c r="I288"/>
    </row>
    <row r="289" spans="5:9" x14ac:dyDescent="0.25">
      <c r="E289"/>
      <c r="F289" s="131"/>
      <c r="G289"/>
      <c r="H289"/>
      <c r="I289"/>
    </row>
    <row r="290" spans="5:9" x14ac:dyDescent="0.25">
      <c r="E290"/>
      <c r="F290" s="131"/>
      <c r="G290"/>
      <c r="H290"/>
      <c r="I290"/>
    </row>
    <row r="291" spans="5:9" x14ac:dyDescent="0.25">
      <c r="E291"/>
      <c r="F291" s="131"/>
      <c r="G291"/>
      <c r="H291"/>
      <c r="I291"/>
    </row>
    <row r="292" spans="5:9" x14ac:dyDescent="0.25">
      <c r="E292"/>
      <c r="F292" s="131"/>
      <c r="G292"/>
      <c r="H292"/>
      <c r="I292"/>
    </row>
    <row r="293" spans="5:9" x14ac:dyDescent="0.25">
      <c r="E293"/>
      <c r="F293" s="131"/>
      <c r="G293"/>
      <c r="H293"/>
      <c r="I293"/>
    </row>
    <row r="294" spans="5:9" x14ac:dyDescent="0.25">
      <c r="E294"/>
      <c r="F294" s="131"/>
      <c r="G294"/>
      <c r="H294"/>
      <c r="I294"/>
    </row>
    <row r="295" spans="5:9" x14ac:dyDescent="0.25">
      <c r="E295"/>
      <c r="F295" s="131"/>
      <c r="G295"/>
      <c r="H295"/>
      <c r="I295"/>
    </row>
    <row r="296" spans="5:9" x14ac:dyDescent="0.25">
      <c r="E296"/>
      <c r="F296" s="131"/>
      <c r="G296"/>
      <c r="H296"/>
      <c r="I296"/>
    </row>
    <row r="297" spans="5:9" x14ac:dyDescent="0.25">
      <c r="E297"/>
      <c r="F297" s="131"/>
      <c r="G297"/>
      <c r="H297"/>
      <c r="I297"/>
    </row>
    <row r="298" spans="5:9" x14ac:dyDescent="0.25">
      <c r="E298"/>
      <c r="F298" s="131"/>
      <c r="G298"/>
      <c r="H298"/>
      <c r="I298"/>
    </row>
    <row r="299" spans="5:9" x14ac:dyDescent="0.25">
      <c r="E299"/>
      <c r="F299" s="131"/>
      <c r="G299"/>
      <c r="H299"/>
      <c r="I299"/>
    </row>
    <row r="300" spans="5:9" x14ac:dyDescent="0.25">
      <c r="E300"/>
      <c r="F300" s="131"/>
      <c r="G300"/>
      <c r="H300"/>
      <c r="I300"/>
    </row>
    <row r="301" spans="5:9" x14ac:dyDescent="0.25">
      <c r="E301"/>
      <c r="F301" s="131"/>
      <c r="G301"/>
      <c r="H301"/>
      <c r="I301"/>
    </row>
    <row r="302" spans="5:9" x14ac:dyDescent="0.25">
      <c r="E302"/>
      <c r="F302" s="131"/>
      <c r="G302"/>
      <c r="H302"/>
      <c r="I302"/>
    </row>
    <row r="303" spans="5:9" x14ac:dyDescent="0.25">
      <c r="E303"/>
      <c r="F303" s="131"/>
      <c r="G303"/>
      <c r="H303"/>
      <c r="I303"/>
    </row>
    <row r="304" spans="5:9" x14ac:dyDescent="0.25">
      <c r="E304"/>
      <c r="F304" s="131"/>
      <c r="G304"/>
      <c r="H304"/>
      <c r="I304"/>
    </row>
    <row r="305" spans="5:9" x14ac:dyDescent="0.25">
      <c r="E305"/>
      <c r="F305" s="131"/>
      <c r="G305"/>
      <c r="H305"/>
      <c r="I305"/>
    </row>
    <row r="306" spans="5:9" x14ac:dyDescent="0.25">
      <c r="E306"/>
      <c r="F306" s="131"/>
      <c r="G306"/>
      <c r="H306"/>
      <c r="I306"/>
    </row>
    <row r="307" spans="5:9" x14ac:dyDescent="0.25">
      <c r="E307"/>
      <c r="F307" s="131"/>
      <c r="G307"/>
      <c r="H307"/>
      <c r="I307"/>
    </row>
    <row r="308" spans="5:9" x14ac:dyDescent="0.25">
      <c r="E308"/>
      <c r="F308" s="131"/>
      <c r="G308"/>
      <c r="H308"/>
      <c r="I308"/>
    </row>
    <row r="309" spans="5:9" x14ac:dyDescent="0.25">
      <c r="E309"/>
      <c r="F309" s="131"/>
      <c r="G309"/>
      <c r="H309"/>
      <c r="I309"/>
    </row>
    <row r="310" spans="5:9" x14ac:dyDescent="0.25">
      <c r="E310"/>
      <c r="F310" s="131"/>
      <c r="G310"/>
      <c r="H310"/>
      <c r="I310"/>
    </row>
    <row r="311" spans="5:9" x14ac:dyDescent="0.25">
      <c r="E311"/>
      <c r="F311" s="131"/>
      <c r="G311"/>
      <c r="H311"/>
      <c r="I311"/>
    </row>
    <row r="312" spans="5:9" x14ac:dyDescent="0.25">
      <c r="E312"/>
      <c r="F312" s="131"/>
      <c r="G312"/>
      <c r="H312"/>
      <c r="I312"/>
    </row>
    <row r="313" spans="5:9" x14ac:dyDescent="0.25">
      <c r="E313"/>
      <c r="F313" s="131"/>
      <c r="G313"/>
      <c r="H313"/>
      <c r="I313"/>
    </row>
    <row r="314" spans="5:9" x14ac:dyDescent="0.25">
      <c r="E314"/>
      <c r="F314" s="131"/>
      <c r="G314"/>
      <c r="H314"/>
      <c r="I314"/>
    </row>
    <row r="315" spans="5:9" x14ac:dyDescent="0.25">
      <c r="E315"/>
      <c r="F315" s="131"/>
      <c r="G315"/>
      <c r="H315"/>
      <c r="I315"/>
    </row>
    <row r="316" spans="5:9" x14ac:dyDescent="0.25">
      <c r="E316"/>
      <c r="F316" s="131"/>
      <c r="G316"/>
      <c r="H316"/>
      <c r="I316"/>
    </row>
    <row r="317" spans="5:9" x14ac:dyDescent="0.25">
      <c r="E317"/>
      <c r="F317" s="131"/>
      <c r="G317"/>
      <c r="H317"/>
      <c r="I317"/>
    </row>
    <row r="318" spans="5:9" x14ac:dyDescent="0.25">
      <c r="E318"/>
      <c r="F318" s="131"/>
      <c r="G318"/>
      <c r="H318"/>
      <c r="I318"/>
    </row>
    <row r="319" spans="5:9" x14ac:dyDescent="0.25">
      <c r="E319"/>
      <c r="F319" s="131"/>
      <c r="G319"/>
      <c r="H319"/>
      <c r="I319"/>
    </row>
    <row r="320" spans="5:9" x14ac:dyDescent="0.25">
      <c r="E320"/>
      <c r="F320" s="131"/>
      <c r="G320"/>
      <c r="H320"/>
      <c r="I320"/>
    </row>
    <row r="321" spans="5:9" x14ac:dyDescent="0.25">
      <c r="E321"/>
      <c r="F321" s="131"/>
      <c r="G321"/>
      <c r="H321"/>
      <c r="I321"/>
    </row>
    <row r="322" spans="5:9" x14ac:dyDescent="0.25">
      <c r="E322"/>
      <c r="F322" s="131"/>
      <c r="G322"/>
      <c r="H322"/>
      <c r="I322"/>
    </row>
    <row r="323" spans="5:9" x14ac:dyDescent="0.25">
      <c r="E323"/>
      <c r="F323" s="131"/>
      <c r="G323"/>
      <c r="H323"/>
      <c r="I323"/>
    </row>
    <row r="324" spans="5:9" x14ac:dyDescent="0.25">
      <c r="E324"/>
      <c r="F324" s="131"/>
      <c r="G324"/>
      <c r="H324"/>
      <c r="I324"/>
    </row>
    <row r="325" spans="5:9" x14ac:dyDescent="0.25">
      <c r="E325"/>
      <c r="F325" s="131"/>
      <c r="G325"/>
      <c r="H325"/>
      <c r="I325"/>
    </row>
    <row r="326" spans="5:9" x14ac:dyDescent="0.25">
      <c r="E326"/>
      <c r="F326" s="131"/>
      <c r="G326"/>
      <c r="H326"/>
      <c r="I326"/>
    </row>
    <row r="327" spans="5:9" x14ac:dyDescent="0.25">
      <c r="E327"/>
      <c r="F327" s="131"/>
      <c r="G327"/>
      <c r="H327"/>
      <c r="I327"/>
    </row>
    <row r="328" spans="5:9" x14ac:dyDescent="0.25">
      <c r="E328"/>
      <c r="F328" s="131"/>
      <c r="G328"/>
      <c r="H328"/>
      <c r="I328"/>
    </row>
    <row r="329" spans="5:9" x14ac:dyDescent="0.25">
      <c r="E329"/>
      <c r="F329" s="131"/>
      <c r="G329"/>
      <c r="H329"/>
      <c r="I329"/>
    </row>
    <row r="330" spans="5:9" x14ac:dyDescent="0.25">
      <c r="E330"/>
      <c r="F330" s="131"/>
      <c r="G330"/>
      <c r="H330"/>
      <c r="I330"/>
    </row>
    <row r="331" spans="5:9" x14ac:dyDescent="0.25">
      <c r="E331"/>
      <c r="F331" s="131"/>
      <c r="G331"/>
      <c r="H331"/>
      <c r="I331"/>
    </row>
    <row r="332" spans="5:9" x14ac:dyDescent="0.25">
      <c r="E332"/>
      <c r="F332" s="131"/>
      <c r="G332"/>
      <c r="H332"/>
      <c r="I332"/>
    </row>
    <row r="333" spans="5:9" x14ac:dyDescent="0.25">
      <c r="E333"/>
      <c r="F333" s="131"/>
      <c r="G333"/>
      <c r="H333"/>
      <c r="I333"/>
    </row>
    <row r="334" spans="5:9" x14ac:dyDescent="0.25">
      <c r="E334"/>
      <c r="F334" s="131"/>
      <c r="G334"/>
      <c r="H334"/>
      <c r="I334"/>
    </row>
    <row r="335" spans="5:9" x14ac:dyDescent="0.25">
      <c r="E335"/>
      <c r="F335" s="131"/>
      <c r="G335"/>
      <c r="H335"/>
      <c r="I335"/>
    </row>
    <row r="336" spans="5:9" x14ac:dyDescent="0.25">
      <c r="E336"/>
      <c r="F336" s="131"/>
      <c r="G336"/>
      <c r="H336"/>
      <c r="I336"/>
    </row>
    <row r="337" spans="5:9" x14ac:dyDescent="0.25">
      <c r="E337"/>
      <c r="F337" s="131"/>
      <c r="G337"/>
      <c r="H337"/>
      <c r="I337"/>
    </row>
    <row r="338" spans="5:9" x14ac:dyDescent="0.25">
      <c r="E338"/>
      <c r="F338" s="131"/>
      <c r="G338"/>
      <c r="H338"/>
      <c r="I338"/>
    </row>
    <row r="339" spans="5:9" x14ac:dyDescent="0.25">
      <c r="E339"/>
      <c r="F339" s="131"/>
      <c r="G339"/>
      <c r="H339"/>
      <c r="I339"/>
    </row>
    <row r="340" spans="5:9" x14ac:dyDescent="0.25">
      <c r="E340"/>
      <c r="F340" s="131"/>
      <c r="G340"/>
      <c r="H340"/>
      <c r="I340"/>
    </row>
    <row r="341" spans="5:9" x14ac:dyDescent="0.25">
      <c r="E341"/>
      <c r="F341" s="131"/>
      <c r="G341"/>
      <c r="H341"/>
      <c r="I341"/>
    </row>
    <row r="342" spans="5:9" x14ac:dyDescent="0.25">
      <c r="E342"/>
      <c r="F342" s="131"/>
      <c r="G342"/>
      <c r="H342"/>
      <c r="I342"/>
    </row>
    <row r="343" spans="5:9" x14ac:dyDescent="0.25">
      <c r="E343"/>
      <c r="F343" s="131"/>
      <c r="G343"/>
      <c r="H343"/>
      <c r="I343"/>
    </row>
    <row r="344" spans="5:9" x14ac:dyDescent="0.25">
      <c r="E344"/>
      <c r="F344" s="131"/>
      <c r="G344"/>
      <c r="H344"/>
      <c r="I344"/>
    </row>
    <row r="345" spans="5:9" x14ac:dyDescent="0.25">
      <c r="E345"/>
      <c r="F345" s="131"/>
      <c r="G345"/>
      <c r="H345"/>
      <c r="I345"/>
    </row>
    <row r="346" spans="5:9" x14ac:dyDescent="0.25">
      <c r="E346"/>
      <c r="F346" s="131"/>
      <c r="G346"/>
      <c r="H346"/>
      <c r="I346"/>
    </row>
    <row r="347" spans="5:9" x14ac:dyDescent="0.25">
      <c r="E347"/>
      <c r="F347" s="131"/>
      <c r="G347"/>
      <c r="H347"/>
      <c r="I347"/>
    </row>
    <row r="348" spans="5:9" x14ac:dyDescent="0.25">
      <c r="E348"/>
      <c r="F348" s="131"/>
      <c r="G348"/>
      <c r="H348"/>
      <c r="I348"/>
    </row>
    <row r="349" spans="5:9" x14ac:dyDescent="0.25">
      <c r="E349"/>
      <c r="F349" s="131"/>
      <c r="G349"/>
      <c r="H349"/>
      <c r="I349"/>
    </row>
    <row r="350" spans="5:9" x14ac:dyDescent="0.25">
      <c r="E350"/>
      <c r="F350" s="131"/>
      <c r="G350"/>
      <c r="H350"/>
      <c r="I350"/>
    </row>
    <row r="351" spans="5:9" x14ac:dyDescent="0.25">
      <c r="E351"/>
      <c r="F351" s="131"/>
      <c r="G351"/>
      <c r="H351"/>
      <c r="I351"/>
    </row>
    <row r="352" spans="5:9" x14ac:dyDescent="0.25">
      <c r="E352"/>
      <c r="F352" s="131"/>
      <c r="G352"/>
      <c r="H352"/>
      <c r="I352"/>
    </row>
    <row r="353" spans="5:9" x14ac:dyDescent="0.25">
      <c r="E353"/>
      <c r="F353" s="131"/>
      <c r="G353"/>
      <c r="H353"/>
      <c r="I353"/>
    </row>
    <row r="354" spans="5:9" x14ac:dyDescent="0.25">
      <c r="E354"/>
      <c r="F354" s="131"/>
      <c r="G354"/>
      <c r="H354"/>
      <c r="I354"/>
    </row>
    <row r="355" spans="5:9" x14ac:dyDescent="0.25">
      <c r="E355"/>
      <c r="F355" s="131"/>
      <c r="G355"/>
      <c r="H355"/>
      <c r="I355"/>
    </row>
    <row r="356" spans="5:9" x14ac:dyDescent="0.25">
      <c r="E356"/>
      <c r="F356" s="131"/>
      <c r="G356"/>
      <c r="H356"/>
      <c r="I356"/>
    </row>
    <row r="357" spans="5:9" x14ac:dyDescent="0.25">
      <c r="E357"/>
      <c r="F357" s="131"/>
      <c r="G357"/>
      <c r="H357"/>
      <c r="I357"/>
    </row>
    <row r="358" spans="5:9" x14ac:dyDescent="0.25">
      <c r="E358"/>
      <c r="F358" s="131"/>
      <c r="G358"/>
      <c r="H358"/>
      <c r="I358"/>
    </row>
    <row r="359" spans="5:9" x14ac:dyDescent="0.25">
      <c r="E359"/>
      <c r="F359" s="131"/>
      <c r="G359"/>
      <c r="H359"/>
      <c r="I359"/>
    </row>
    <row r="360" spans="5:9" x14ac:dyDescent="0.25">
      <c r="E360"/>
      <c r="F360" s="131"/>
      <c r="G360"/>
      <c r="H360"/>
      <c r="I360"/>
    </row>
    <row r="361" spans="5:9" x14ac:dyDescent="0.25">
      <c r="E361"/>
      <c r="F361" s="131"/>
      <c r="G361"/>
      <c r="H361"/>
      <c r="I361"/>
    </row>
    <row r="362" spans="5:9" x14ac:dyDescent="0.25">
      <c r="E362"/>
      <c r="F362" s="131"/>
      <c r="G362"/>
      <c r="H362"/>
      <c r="I362"/>
    </row>
    <row r="363" spans="5:9" x14ac:dyDescent="0.25">
      <c r="E363"/>
      <c r="F363" s="131"/>
      <c r="G363"/>
      <c r="H363"/>
      <c r="I363"/>
    </row>
    <row r="364" spans="5:9" x14ac:dyDescent="0.25">
      <c r="E364"/>
      <c r="F364" s="131"/>
      <c r="G364"/>
      <c r="H364"/>
      <c r="I364"/>
    </row>
    <row r="365" spans="5:9" x14ac:dyDescent="0.25">
      <c r="E365"/>
      <c r="F365" s="131"/>
      <c r="G365"/>
      <c r="H365"/>
      <c r="I365"/>
    </row>
    <row r="366" spans="5:9" x14ac:dyDescent="0.25">
      <c r="E366"/>
      <c r="F366" s="131"/>
      <c r="G366"/>
      <c r="H366"/>
      <c r="I366"/>
    </row>
    <row r="367" spans="5:9" x14ac:dyDescent="0.25">
      <c r="E367"/>
      <c r="F367" s="131"/>
      <c r="G367"/>
      <c r="H367"/>
      <c r="I367"/>
    </row>
    <row r="368" spans="5:9" x14ac:dyDescent="0.25">
      <c r="E368"/>
      <c r="F368" s="131"/>
      <c r="G368"/>
      <c r="H368"/>
      <c r="I368"/>
    </row>
    <row r="369" spans="5:9" x14ac:dyDescent="0.25">
      <c r="E369"/>
      <c r="F369" s="131"/>
      <c r="G369"/>
      <c r="H369"/>
      <c r="I369"/>
    </row>
    <row r="370" spans="5:9" x14ac:dyDescent="0.25">
      <c r="E370"/>
      <c r="F370" s="131"/>
      <c r="G370"/>
      <c r="H370"/>
      <c r="I370"/>
    </row>
    <row r="371" spans="5:9" x14ac:dyDescent="0.25">
      <c r="E371"/>
      <c r="F371" s="131"/>
      <c r="G371"/>
      <c r="H371"/>
      <c r="I371"/>
    </row>
    <row r="372" spans="5:9" x14ac:dyDescent="0.25">
      <c r="E372"/>
      <c r="F372" s="131"/>
      <c r="G372"/>
      <c r="H372"/>
      <c r="I372"/>
    </row>
    <row r="373" spans="5:9" x14ac:dyDescent="0.25">
      <c r="E373"/>
      <c r="F373" s="131"/>
      <c r="G373"/>
      <c r="H373"/>
      <c r="I373"/>
    </row>
    <row r="374" spans="5:9" x14ac:dyDescent="0.25">
      <c r="E374"/>
      <c r="F374" s="131"/>
      <c r="G374"/>
      <c r="H374"/>
      <c r="I374"/>
    </row>
    <row r="375" spans="5:9" x14ac:dyDescent="0.25">
      <c r="E375"/>
      <c r="F375" s="131"/>
      <c r="G375"/>
      <c r="H375"/>
      <c r="I375"/>
    </row>
    <row r="376" spans="5:9" x14ac:dyDescent="0.25">
      <c r="E376"/>
      <c r="F376" s="131"/>
      <c r="G376"/>
      <c r="H376"/>
      <c r="I376"/>
    </row>
    <row r="377" spans="5:9" x14ac:dyDescent="0.25">
      <c r="E377"/>
      <c r="F377" s="131"/>
      <c r="G377"/>
      <c r="H377"/>
      <c r="I377"/>
    </row>
    <row r="378" spans="5:9" x14ac:dyDescent="0.25">
      <c r="E378"/>
      <c r="F378" s="131"/>
      <c r="G378"/>
      <c r="H378"/>
      <c r="I378"/>
    </row>
    <row r="379" spans="5:9" x14ac:dyDescent="0.25">
      <c r="E379"/>
      <c r="F379" s="131"/>
      <c r="G379"/>
      <c r="H379"/>
      <c r="I379"/>
    </row>
    <row r="380" spans="5:9" x14ac:dyDescent="0.25">
      <c r="E380"/>
      <c r="F380" s="131"/>
      <c r="G380"/>
      <c r="H380"/>
      <c r="I380"/>
    </row>
    <row r="381" spans="5:9" x14ac:dyDescent="0.25">
      <c r="E381"/>
      <c r="F381" s="131"/>
      <c r="G381"/>
      <c r="H381"/>
      <c r="I381"/>
    </row>
    <row r="382" spans="5:9" x14ac:dyDescent="0.25">
      <c r="E382"/>
      <c r="F382" s="131"/>
      <c r="G382"/>
      <c r="H382"/>
      <c r="I382"/>
    </row>
    <row r="383" spans="5:9" x14ac:dyDescent="0.25">
      <c r="E383"/>
      <c r="F383" s="131"/>
      <c r="G383"/>
      <c r="H383"/>
      <c r="I383"/>
    </row>
    <row r="384" spans="5:9" x14ac:dyDescent="0.25">
      <c r="E384"/>
      <c r="F384" s="131"/>
      <c r="G384"/>
      <c r="H384"/>
      <c r="I384"/>
    </row>
    <row r="385" spans="5:9" x14ac:dyDescent="0.25">
      <c r="E385"/>
      <c r="F385" s="131"/>
      <c r="G385"/>
      <c r="H385"/>
      <c r="I385"/>
    </row>
    <row r="386" spans="5:9" x14ac:dyDescent="0.25">
      <c r="E386"/>
      <c r="F386" s="131"/>
      <c r="G386"/>
      <c r="H386"/>
      <c r="I386"/>
    </row>
    <row r="387" spans="5:9" x14ac:dyDescent="0.25">
      <c r="E387"/>
      <c r="F387" s="131"/>
      <c r="G387"/>
      <c r="H387"/>
      <c r="I387"/>
    </row>
    <row r="388" spans="5:9" x14ac:dyDescent="0.25">
      <c r="E388"/>
      <c r="F388" s="131"/>
      <c r="G388"/>
      <c r="H388"/>
      <c r="I388"/>
    </row>
    <row r="389" spans="5:9" x14ac:dyDescent="0.25">
      <c r="E389"/>
      <c r="F389" s="131"/>
      <c r="G389"/>
      <c r="H389"/>
      <c r="I389"/>
    </row>
    <row r="390" spans="5:9" x14ac:dyDescent="0.25">
      <c r="E390"/>
      <c r="F390" s="131"/>
      <c r="G390"/>
      <c r="H390"/>
      <c r="I390"/>
    </row>
    <row r="391" spans="5:9" x14ac:dyDescent="0.25">
      <c r="E391"/>
      <c r="F391" s="131"/>
      <c r="G391"/>
      <c r="H391"/>
      <c r="I391"/>
    </row>
    <row r="392" spans="5:9" x14ac:dyDescent="0.25">
      <c r="E392"/>
      <c r="F392" s="131"/>
      <c r="G392"/>
      <c r="H392"/>
      <c r="I392"/>
    </row>
    <row r="393" spans="5:9" x14ac:dyDescent="0.25">
      <c r="E393"/>
      <c r="F393" s="131"/>
      <c r="G393"/>
      <c r="H393"/>
      <c r="I393"/>
    </row>
    <row r="394" spans="5:9" x14ac:dyDescent="0.25">
      <c r="E394"/>
      <c r="F394" s="131"/>
      <c r="G394"/>
      <c r="H394"/>
      <c r="I394"/>
    </row>
    <row r="395" spans="5:9" x14ac:dyDescent="0.25">
      <c r="E395"/>
      <c r="F395" s="131"/>
      <c r="G395"/>
      <c r="H395"/>
      <c r="I395"/>
    </row>
    <row r="396" spans="5:9" x14ac:dyDescent="0.25">
      <c r="E396"/>
      <c r="F396" s="131"/>
      <c r="G396"/>
      <c r="H396"/>
      <c r="I396"/>
    </row>
    <row r="397" spans="5:9" x14ac:dyDescent="0.25">
      <c r="E397"/>
      <c r="F397" s="131"/>
      <c r="G397"/>
      <c r="H397"/>
      <c r="I397"/>
    </row>
    <row r="398" spans="5:9" x14ac:dyDescent="0.25">
      <c r="E398"/>
      <c r="F398" s="131"/>
      <c r="G398"/>
      <c r="H398"/>
      <c r="I398"/>
    </row>
    <row r="399" spans="5:9" x14ac:dyDescent="0.25">
      <c r="E399"/>
      <c r="F399" s="131"/>
      <c r="G399"/>
      <c r="H399"/>
      <c r="I399"/>
    </row>
    <row r="400" spans="5:9" x14ac:dyDescent="0.25">
      <c r="E400"/>
      <c r="F400" s="131"/>
      <c r="G400"/>
      <c r="H400"/>
      <c r="I400"/>
    </row>
    <row r="401" spans="5:9" x14ac:dyDescent="0.25">
      <c r="E401"/>
      <c r="F401" s="131"/>
      <c r="G401"/>
      <c r="H401"/>
      <c r="I401"/>
    </row>
    <row r="402" spans="5:9" x14ac:dyDescent="0.25">
      <c r="E402"/>
      <c r="F402" s="131"/>
      <c r="G402"/>
      <c r="H402"/>
      <c r="I402"/>
    </row>
    <row r="403" spans="5:9" x14ac:dyDescent="0.25">
      <c r="E403"/>
      <c r="F403" s="131"/>
      <c r="G403"/>
      <c r="H403"/>
      <c r="I403"/>
    </row>
    <row r="404" spans="5:9" x14ac:dyDescent="0.25">
      <c r="E404"/>
      <c r="F404" s="131"/>
      <c r="G404"/>
      <c r="H404"/>
      <c r="I404"/>
    </row>
    <row r="405" spans="5:9" x14ac:dyDescent="0.25">
      <c r="E405"/>
      <c r="F405" s="131"/>
      <c r="G405"/>
      <c r="H405"/>
      <c r="I405"/>
    </row>
    <row r="406" spans="5:9" x14ac:dyDescent="0.25">
      <c r="E406"/>
      <c r="F406" s="131"/>
      <c r="G406"/>
      <c r="H406"/>
      <c r="I406"/>
    </row>
    <row r="407" spans="5:9" x14ac:dyDescent="0.25">
      <c r="E407"/>
      <c r="F407" s="131"/>
      <c r="G407"/>
      <c r="H407"/>
      <c r="I407"/>
    </row>
    <row r="408" spans="5:9" x14ac:dyDescent="0.25">
      <c r="E408"/>
      <c r="F408" s="131"/>
      <c r="G408"/>
      <c r="H408"/>
      <c r="I408"/>
    </row>
    <row r="409" spans="5:9" x14ac:dyDescent="0.25">
      <c r="E409"/>
      <c r="F409" s="131"/>
      <c r="G409"/>
      <c r="H409"/>
      <c r="I409"/>
    </row>
    <row r="410" spans="5:9" x14ac:dyDescent="0.25">
      <c r="E410"/>
      <c r="F410" s="131"/>
      <c r="G410"/>
      <c r="H410"/>
      <c r="I410"/>
    </row>
    <row r="411" spans="5:9" x14ac:dyDescent="0.25">
      <c r="E411"/>
      <c r="F411" s="131"/>
      <c r="G411"/>
      <c r="H411"/>
      <c r="I411"/>
    </row>
    <row r="412" spans="5:9" x14ac:dyDescent="0.25">
      <c r="E412"/>
      <c r="F412" s="131"/>
      <c r="G412"/>
      <c r="H412"/>
      <c r="I412"/>
    </row>
    <row r="413" spans="5:9" x14ac:dyDescent="0.25">
      <c r="E413"/>
      <c r="F413" s="131"/>
      <c r="G413"/>
      <c r="H413"/>
      <c r="I413"/>
    </row>
    <row r="414" spans="5:9" x14ac:dyDescent="0.25">
      <c r="E414"/>
      <c r="F414" s="131"/>
      <c r="G414"/>
      <c r="H414"/>
      <c r="I414"/>
    </row>
    <row r="415" spans="5:9" x14ac:dyDescent="0.25">
      <c r="E415"/>
      <c r="F415" s="131"/>
      <c r="G415"/>
      <c r="H415"/>
      <c r="I415"/>
    </row>
    <row r="416" spans="5:9" x14ac:dyDescent="0.25">
      <c r="E416"/>
      <c r="F416" s="131"/>
      <c r="G416"/>
      <c r="H416"/>
      <c r="I416"/>
    </row>
    <row r="417" spans="5:9" x14ac:dyDescent="0.25">
      <c r="E417"/>
      <c r="F417" s="131"/>
      <c r="G417"/>
      <c r="H417"/>
      <c r="I417"/>
    </row>
    <row r="418" spans="5:9" x14ac:dyDescent="0.25">
      <c r="E418"/>
      <c r="F418" s="131"/>
      <c r="G418"/>
      <c r="H418"/>
      <c r="I418"/>
    </row>
    <row r="419" spans="5:9" x14ac:dyDescent="0.25">
      <c r="E419"/>
      <c r="F419" s="131"/>
      <c r="G419"/>
      <c r="H419"/>
      <c r="I419"/>
    </row>
    <row r="420" spans="5:9" x14ac:dyDescent="0.25">
      <c r="E420"/>
      <c r="F420" s="131"/>
      <c r="G420"/>
      <c r="H420"/>
      <c r="I420"/>
    </row>
    <row r="421" spans="5:9" x14ac:dyDescent="0.25">
      <c r="E421"/>
      <c r="F421" s="131"/>
      <c r="G421"/>
      <c r="H421"/>
      <c r="I421"/>
    </row>
    <row r="422" spans="5:9" x14ac:dyDescent="0.25">
      <c r="E422"/>
      <c r="F422" s="131"/>
      <c r="G422"/>
      <c r="H422"/>
      <c r="I422"/>
    </row>
    <row r="423" spans="5:9" x14ac:dyDescent="0.25">
      <c r="E423"/>
      <c r="F423" s="131"/>
      <c r="G423"/>
      <c r="H423"/>
      <c r="I423"/>
    </row>
    <row r="424" spans="5:9" x14ac:dyDescent="0.25">
      <c r="E424"/>
      <c r="F424" s="131"/>
      <c r="G424"/>
      <c r="H424"/>
      <c r="I424"/>
    </row>
    <row r="425" spans="5:9" x14ac:dyDescent="0.25">
      <c r="E425"/>
      <c r="F425" s="131"/>
      <c r="G425"/>
      <c r="H425"/>
      <c r="I425"/>
    </row>
    <row r="426" spans="5:9" x14ac:dyDescent="0.25">
      <c r="E426"/>
      <c r="F426" s="131"/>
      <c r="G426"/>
      <c r="H426"/>
      <c r="I426"/>
    </row>
    <row r="427" spans="5:9" x14ac:dyDescent="0.25">
      <c r="E427"/>
      <c r="F427" s="131"/>
      <c r="G427"/>
      <c r="H427"/>
      <c r="I427"/>
    </row>
    <row r="428" spans="5:9" x14ac:dyDescent="0.25">
      <c r="E428"/>
      <c r="F428" s="131"/>
      <c r="G428"/>
      <c r="H428"/>
      <c r="I428"/>
    </row>
    <row r="429" spans="5:9" x14ac:dyDescent="0.25">
      <c r="E429"/>
      <c r="F429" s="131"/>
      <c r="G429"/>
      <c r="H429"/>
      <c r="I429"/>
    </row>
    <row r="430" spans="5:9" x14ac:dyDescent="0.25">
      <c r="E430"/>
      <c r="F430" s="131"/>
      <c r="G430"/>
      <c r="H430"/>
      <c r="I430"/>
    </row>
    <row r="431" spans="5:9" x14ac:dyDescent="0.25">
      <c r="E431"/>
      <c r="F431" s="131"/>
      <c r="G431"/>
      <c r="H431"/>
      <c r="I431"/>
    </row>
    <row r="432" spans="5:9" x14ac:dyDescent="0.25">
      <c r="E432"/>
      <c r="F432" s="131"/>
      <c r="G432"/>
      <c r="H432"/>
      <c r="I432"/>
    </row>
    <row r="433" spans="5:9" x14ac:dyDescent="0.25">
      <c r="E433"/>
      <c r="F433" s="131"/>
      <c r="G433"/>
      <c r="H433"/>
      <c r="I433"/>
    </row>
    <row r="434" spans="5:9" x14ac:dyDescent="0.25">
      <c r="E434"/>
      <c r="F434" s="131"/>
      <c r="G434"/>
      <c r="H434"/>
      <c r="I434"/>
    </row>
    <row r="435" spans="5:9" x14ac:dyDescent="0.25">
      <c r="E435"/>
      <c r="F435" s="131"/>
      <c r="G435"/>
      <c r="H435"/>
      <c r="I435"/>
    </row>
    <row r="436" spans="5:9" x14ac:dyDescent="0.25">
      <c r="E436"/>
      <c r="F436" s="131"/>
      <c r="G436"/>
      <c r="H436"/>
      <c r="I436"/>
    </row>
    <row r="437" spans="5:9" x14ac:dyDescent="0.25">
      <c r="E437"/>
      <c r="F437" s="131"/>
      <c r="G437"/>
      <c r="H437"/>
      <c r="I437"/>
    </row>
    <row r="438" spans="5:9" x14ac:dyDescent="0.25">
      <c r="E438"/>
      <c r="F438" s="131"/>
      <c r="G438"/>
      <c r="H438"/>
      <c r="I438"/>
    </row>
    <row r="439" spans="5:9" x14ac:dyDescent="0.25">
      <c r="E439"/>
      <c r="F439" s="131"/>
      <c r="G439"/>
      <c r="H439"/>
      <c r="I439"/>
    </row>
    <row r="440" spans="5:9" x14ac:dyDescent="0.25">
      <c r="E440"/>
      <c r="F440" s="131"/>
      <c r="G440"/>
      <c r="H440"/>
      <c r="I440"/>
    </row>
    <row r="441" spans="5:9" x14ac:dyDescent="0.25">
      <c r="E441"/>
      <c r="F441" s="131"/>
      <c r="G441"/>
      <c r="H441"/>
      <c r="I441"/>
    </row>
    <row r="442" spans="5:9" x14ac:dyDescent="0.25">
      <c r="E442"/>
      <c r="F442" s="131"/>
      <c r="G442"/>
      <c r="H442"/>
      <c r="I442"/>
    </row>
    <row r="443" spans="5:9" x14ac:dyDescent="0.25">
      <c r="E443"/>
      <c r="F443" s="131"/>
      <c r="G443"/>
      <c r="H443"/>
      <c r="I443"/>
    </row>
    <row r="444" spans="5:9" x14ac:dyDescent="0.25">
      <c r="E444"/>
      <c r="F444" s="131"/>
      <c r="G444"/>
      <c r="H444"/>
      <c r="I444"/>
    </row>
    <row r="445" spans="5:9" x14ac:dyDescent="0.25">
      <c r="E445"/>
      <c r="F445" s="131"/>
      <c r="G445"/>
      <c r="H445"/>
      <c r="I445"/>
    </row>
    <row r="446" spans="5:9" x14ac:dyDescent="0.25">
      <c r="E446"/>
      <c r="F446" s="131"/>
      <c r="G446"/>
      <c r="H446"/>
      <c r="I446"/>
    </row>
    <row r="447" spans="5:9" x14ac:dyDescent="0.25">
      <c r="E447"/>
      <c r="F447" s="131"/>
      <c r="G447"/>
      <c r="H447"/>
      <c r="I447"/>
    </row>
    <row r="448" spans="5:9" x14ac:dyDescent="0.25">
      <c r="E448"/>
      <c r="F448" s="131"/>
      <c r="G448"/>
      <c r="H448"/>
      <c r="I448"/>
    </row>
    <row r="449" spans="5:9" x14ac:dyDescent="0.25">
      <c r="E449"/>
      <c r="F449" s="131"/>
      <c r="G449"/>
      <c r="H449"/>
      <c r="I449"/>
    </row>
    <row r="450" spans="5:9" x14ac:dyDescent="0.25">
      <c r="E450"/>
      <c r="F450" s="131"/>
      <c r="G450"/>
      <c r="H450"/>
      <c r="I450"/>
    </row>
    <row r="451" spans="5:9" x14ac:dyDescent="0.25">
      <c r="E451"/>
      <c r="F451" s="131"/>
      <c r="G451"/>
      <c r="H451"/>
      <c r="I451"/>
    </row>
    <row r="452" spans="5:9" x14ac:dyDescent="0.25">
      <c r="E452"/>
      <c r="F452" s="131"/>
      <c r="G452"/>
      <c r="H452"/>
      <c r="I452"/>
    </row>
    <row r="453" spans="5:9" x14ac:dyDescent="0.25">
      <c r="E453"/>
      <c r="F453" s="131"/>
      <c r="G453"/>
      <c r="H453"/>
      <c r="I453"/>
    </row>
    <row r="454" spans="5:9" x14ac:dyDescent="0.25">
      <c r="E454"/>
      <c r="F454" s="131"/>
      <c r="G454"/>
      <c r="H454"/>
      <c r="I454"/>
    </row>
    <row r="455" spans="5:9" x14ac:dyDescent="0.25">
      <c r="E455"/>
      <c r="F455" s="131"/>
      <c r="G455"/>
      <c r="H455"/>
      <c r="I455"/>
    </row>
    <row r="456" spans="5:9" x14ac:dyDescent="0.25">
      <c r="E456"/>
      <c r="F456" s="131"/>
      <c r="G456"/>
      <c r="H456"/>
      <c r="I456"/>
    </row>
    <row r="457" spans="5:9" x14ac:dyDescent="0.25">
      <c r="E457"/>
      <c r="F457" s="131"/>
      <c r="G457"/>
      <c r="H457"/>
      <c r="I457"/>
    </row>
    <row r="458" spans="5:9" x14ac:dyDescent="0.25">
      <c r="E458"/>
      <c r="F458" s="131"/>
      <c r="G458"/>
      <c r="H458"/>
      <c r="I458"/>
    </row>
    <row r="459" spans="5:9" x14ac:dyDescent="0.25">
      <c r="E459"/>
      <c r="F459" s="131"/>
      <c r="G459"/>
      <c r="H459"/>
      <c r="I459"/>
    </row>
    <row r="460" spans="5:9" x14ac:dyDescent="0.25">
      <c r="E460"/>
      <c r="F460" s="131"/>
      <c r="G460"/>
      <c r="H460"/>
      <c r="I460"/>
    </row>
    <row r="461" spans="5:9" x14ac:dyDescent="0.25">
      <c r="E461"/>
      <c r="F461" s="131"/>
      <c r="G461"/>
      <c r="H461"/>
      <c r="I461"/>
    </row>
    <row r="462" spans="5:9" x14ac:dyDescent="0.25">
      <c r="E462"/>
      <c r="F462" s="131"/>
      <c r="G462"/>
      <c r="H462"/>
      <c r="I462"/>
    </row>
    <row r="463" spans="5:9" x14ac:dyDescent="0.25">
      <c r="E463"/>
      <c r="F463" s="131"/>
      <c r="G463"/>
      <c r="H463"/>
      <c r="I463"/>
    </row>
    <row r="464" spans="5:9" x14ac:dyDescent="0.25">
      <c r="E464"/>
      <c r="F464" s="131"/>
      <c r="G464"/>
      <c r="H464"/>
      <c r="I464"/>
    </row>
    <row r="465" spans="5:9" x14ac:dyDescent="0.25">
      <c r="E465"/>
      <c r="F465" s="131"/>
      <c r="G465"/>
      <c r="H465"/>
      <c r="I465"/>
    </row>
    <row r="466" spans="5:9" x14ac:dyDescent="0.25">
      <c r="E466"/>
      <c r="F466" s="131"/>
      <c r="G466"/>
      <c r="H466"/>
      <c r="I466"/>
    </row>
    <row r="467" spans="5:9" x14ac:dyDescent="0.25">
      <c r="E467"/>
      <c r="F467" s="131"/>
      <c r="G467"/>
      <c r="H467"/>
      <c r="I467"/>
    </row>
    <row r="468" spans="5:9" x14ac:dyDescent="0.25">
      <c r="E468"/>
      <c r="F468" s="131"/>
      <c r="G468"/>
      <c r="H468"/>
      <c r="I468"/>
    </row>
    <row r="469" spans="5:9" x14ac:dyDescent="0.25">
      <c r="E469"/>
      <c r="F469" s="131"/>
      <c r="G469"/>
      <c r="H469"/>
      <c r="I469"/>
    </row>
    <row r="470" spans="5:9" x14ac:dyDescent="0.25">
      <c r="E470"/>
      <c r="F470" s="131"/>
      <c r="G470"/>
      <c r="H470"/>
      <c r="I470"/>
    </row>
    <row r="471" spans="5:9" x14ac:dyDescent="0.25">
      <c r="E471"/>
      <c r="F471" s="131"/>
      <c r="G471"/>
      <c r="H471"/>
      <c r="I471"/>
    </row>
    <row r="472" spans="5:9" x14ac:dyDescent="0.25">
      <c r="E472"/>
      <c r="F472" s="131"/>
      <c r="G472"/>
      <c r="H472"/>
      <c r="I472"/>
    </row>
    <row r="473" spans="5:9" x14ac:dyDescent="0.25">
      <c r="E473"/>
      <c r="F473" s="131"/>
      <c r="G473"/>
      <c r="H473"/>
      <c r="I473"/>
    </row>
    <row r="474" spans="5:9" x14ac:dyDescent="0.25">
      <c r="E474"/>
      <c r="F474" s="131"/>
      <c r="G474"/>
      <c r="H474"/>
      <c r="I474"/>
    </row>
    <row r="475" spans="5:9" x14ac:dyDescent="0.25">
      <c r="E475"/>
      <c r="F475" s="131"/>
      <c r="G475"/>
      <c r="H475"/>
      <c r="I475"/>
    </row>
    <row r="476" spans="5:9" x14ac:dyDescent="0.25">
      <c r="E476"/>
      <c r="F476" s="131"/>
      <c r="G476"/>
      <c r="H476"/>
      <c r="I476"/>
    </row>
    <row r="477" spans="5:9" x14ac:dyDescent="0.25">
      <c r="E477"/>
      <c r="F477" s="131"/>
      <c r="G477"/>
      <c r="H477"/>
      <c r="I477"/>
    </row>
    <row r="478" spans="5:9" x14ac:dyDescent="0.25">
      <c r="E478"/>
      <c r="F478" s="131"/>
      <c r="G478"/>
      <c r="H478"/>
      <c r="I478"/>
    </row>
    <row r="479" spans="5:9" x14ac:dyDescent="0.25">
      <c r="E479"/>
      <c r="F479" s="131"/>
      <c r="G479"/>
      <c r="H479"/>
      <c r="I479"/>
    </row>
    <row r="480" spans="5:9" x14ac:dyDescent="0.25">
      <c r="E480"/>
      <c r="F480" s="131"/>
      <c r="G480"/>
      <c r="H480"/>
      <c r="I480"/>
    </row>
    <row r="481" spans="5:9" x14ac:dyDescent="0.25">
      <c r="E481"/>
      <c r="F481" s="131"/>
      <c r="G481"/>
      <c r="H481"/>
      <c r="I481"/>
    </row>
    <row r="482" spans="5:9" x14ac:dyDescent="0.25">
      <c r="E482"/>
      <c r="F482" s="131"/>
      <c r="G482"/>
      <c r="H482"/>
      <c r="I482"/>
    </row>
    <row r="483" spans="5:9" x14ac:dyDescent="0.25">
      <c r="E483"/>
      <c r="F483" s="131"/>
      <c r="G483"/>
      <c r="H483"/>
      <c r="I483"/>
    </row>
    <row r="484" spans="5:9" x14ac:dyDescent="0.25">
      <c r="E484"/>
      <c r="F484" s="131"/>
      <c r="G484"/>
      <c r="H484"/>
      <c r="I484"/>
    </row>
    <row r="485" spans="5:9" x14ac:dyDescent="0.25">
      <c r="E485"/>
      <c r="F485" s="131"/>
      <c r="G485"/>
      <c r="H485"/>
      <c r="I485"/>
    </row>
    <row r="486" spans="5:9" x14ac:dyDescent="0.25">
      <c r="E486"/>
      <c r="F486" s="131"/>
      <c r="G486"/>
      <c r="H486"/>
      <c r="I486"/>
    </row>
    <row r="487" spans="5:9" x14ac:dyDescent="0.25">
      <c r="E487"/>
      <c r="F487" s="131"/>
      <c r="G487"/>
      <c r="H487"/>
      <c r="I487"/>
    </row>
    <row r="488" spans="5:9" x14ac:dyDescent="0.25">
      <c r="E488"/>
      <c r="F488" s="131"/>
      <c r="G488"/>
      <c r="H488"/>
      <c r="I488"/>
    </row>
    <row r="489" spans="5:9" x14ac:dyDescent="0.25">
      <c r="E489"/>
      <c r="F489" s="131"/>
      <c r="G489"/>
      <c r="H489"/>
      <c r="I489"/>
    </row>
    <row r="490" spans="5:9" x14ac:dyDescent="0.25">
      <c r="E490"/>
      <c r="F490" s="131"/>
      <c r="G490"/>
      <c r="H490"/>
      <c r="I490"/>
    </row>
    <row r="491" spans="5:9" x14ac:dyDescent="0.25">
      <c r="E491"/>
      <c r="F491" s="131"/>
      <c r="G491"/>
      <c r="H491"/>
      <c r="I491"/>
    </row>
    <row r="492" spans="5:9" x14ac:dyDescent="0.25">
      <c r="E492"/>
      <c r="F492" s="131"/>
      <c r="G492"/>
      <c r="H492"/>
      <c r="I492"/>
    </row>
    <row r="493" spans="5:9" x14ac:dyDescent="0.25">
      <c r="E493"/>
      <c r="F493" s="131"/>
      <c r="G493"/>
      <c r="H493"/>
      <c r="I493"/>
    </row>
    <row r="494" spans="5:9" x14ac:dyDescent="0.25">
      <c r="E494"/>
      <c r="F494" s="131"/>
      <c r="G494"/>
      <c r="H494"/>
      <c r="I494"/>
    </row>
    <row r="495" spans="5:9" x14ac:dyDescent="0.25">
      <c r="E495"/>
      <c r="F495" s="131"/>
      <c r="G495"/>
      <c r="H495"/>
      <c r="I495"/>
    </row>
    <row r="496" spans="5:9" x14ac:dyDescent="0.25">
      <c r="E496"/>
      <c r="F496" s="131"/>
      <c r="G496"/>
      <c r="H496"/>
      <c r="I496"/>
    </row>
    <row r="497" spans="5:9" x14ac:dyDescent="0.25">
      <c r="E497"/>
      <c r="F497" s="131"/>
      <c r="G497"/>
      <c r="H497"/>
      <c r="I497"/>
    </row>
    <row r="498" spans="5:9" x14ac:dyDescent="0.25">
      <c r="E498"/>
      <c r="F498" s="131"/>
      <c r="G498"/>
      <c r="H498"/>
      <c r="I498"/>
    </row>
    <row r="499" spans="5:9" x14ac:dyDescent="0.25">
      <c r="E499"/>
      <c r="F499" s="131"/>
      <c r="G499"/>
      <c r="H499"/>
      <c r="I499"/>
    </row>
    <row r="500" spans="5:9" x14ac:dyDescent="0.25">
      <c r="E500"/>
      <c r="F500" s="131"/>
      <c r="G500"/>
      <c r="H500"/>
      <c r="I500"/>
    </row>
    <row r="501" spans="5:9" x14ac:dyDescent="0.25">
      <c r="E501"/>
      <c r="F501" s="131"/>
      <c r="G501"/>
      <c r="H501"/>
      <c r="I501"/>
    </row>
    <row r="502" spans="5:9" x14ac:dyDescent="0.25">
      <c r="E502"/>
      <c r="F502" s="131"/>
      <c r="G502"/>
      <c r="H502"/>
      <c r="I502"/>
    </row>
    <row r="503" spans="5:9" x14ac:dyDescent="0.25">
      <c r="E503"/>
      <c r="F503" s="131"/>
      <c r="G503"/>
      <c r="H503"/>
      <c r="I503"/>
    </row>
    <row r="504" spans="5:9" x14ac:dyDescent="0.25">
      <c r="E504"/>
      <c r="F504" s="131"/>
      <c r="G504"/>
      <c r="H504"/>
      <c r="I504"/>
    </row>
    <row r="505" spans="5:9" x14ac:dyDescent="0.25">
      <c r="E505"/>
      <c r="F505" s="131"/>
      <c r="G505"/>
      <c r="H505"/>
      <c r="I505"/>
    </row>
    <row r="506" spans="5:9" x14ac:dyDescent="0.25">
      <c r="E506"/>
      <c r="F506" s="131"/>
      <c r="G506"/>
      <c r="H506"/>
      <c r="I506"/>
    </row>
    <row r="507" spans="5:9" x14ac:dyDescent="0.25">
      <c r="E507"/>
      <c r="F507" s="131"/>
      <c r="G507"/>
      <c r="H507"/>
      <c r="I507"/>
    </row>
    <row r="508" spans="5:9" x14ac:dyDescent="0.25">
      <c r="E508"/>
      <c r="F508" s="131"/>
      <c r="G508"/>
      <c r="H508"/>
      <c r="I508"/>
    </row>
    <row r="509" spans="5:9" x14ac:dyDescent="0.25">
      <c r="E509"/>
      <c r="F509" s="131"/>
      <c r="G509"/>
      <c r="H509"/>
      <c r="I509"/>
    </row>
    <row r="510" spans="5:9" x14ac:dyDescent="0.25">
      <c r="E510"/>
      <c r="F510" s="131"/>
      <c r="G510"/>
      <c r="H510"/>
      <c r="I510"/>
    </row>
    <row r="511" spans="5:9" x14ac:dyDescent="0.25">
      <c r="E511"/>
      <c r="F511" s="131"/>
      <c r="G511"/>
      <c r="H511"/>
      <c r="I511"/>
    </row>
    <row r="512" spans="5:9" x14ac:dyDescent="0.25">
      <c r="E512"/>
      <c r="F512" s="131"/>
      <c r="G512"/>
      <c r="H512"/>
      <c r="I512"/>
    </row>
    <row r="513" spans="5:9" x14ac:dyDescent="0.25">
      <c r="E513"/>
      <c r="F513" s="131"/>
      <c r="G513"/>
      <c r="H513"/>
      <c r="I513"/>
    </row>
    <row r="514" spans="5:9" x14ac:dyDescent="0.25">
      <c r="E514"/>
      <c r="F514" s="131"/>
      <c r="G514"/>
      <c r="H514"/>
      <c r="I514"/>
    </row>
    <row r="515" spans="5:9" x14ac:dyDescent="0.25">
      <c r="E515"/>
      <c r="F515" s="131"/>
      <c r="G515"/>
      <c r="H515"/>
      <c r="I515"/>
    </row>
    <row r="516" spans="5:9" x14ac:dyDescent="0.25">
      <c r="E516"/>
      <c r="F516" s="131"/>
      <c r="G516"/>
      <c r="H516"/>
      <c r="I516"/>
    </row>
    <row r="517" spans="5:9" x14ac:dyDescent="0.25">
      <c r="E517"/>
      <c r="F517" s="131"/>
      <c r="G517"/>
      <c r="H517"/>
      <c r="I517"/>
    </row>
    <row r="518" spans="5:9" x14ac:dyDescent="0.25">
      <c r="E518"/>
      <c r="F518" s="131"/>
      <c r="G518"/>
      <c r="H518"/>
      <c r="I518"/>
    </row>
    <row r="519" spans="5:9" x14ac:dyDescent="0.25">
      <c r="E519"/>
      <c r="F519" s="131"/>
      <c r="G519"/>
      <c r="H519"/>
      <c r="I519"/>
    </row>
    <row r="520" spans="5:9" x14ac:dyDescent="0.25">
      <c r="E520"/>
      <c r="F520" s="131"/>
      <c r="G520"/>
      <c r="H520"/>
      <c r="I520"/>
    </row>
    <row r="521" spans="5:9" x14ac:dyDescent="0.25">
      <c r="E521"/>
      <c r="F521" s="131"/>
      <c r="G521"/>
      <c r="H521"/>
      <c r="I521"/>
    </row>
    <row r="522" spans="5:9" x14ac:dyDescent="0.25">
      <c r="E522"/>
      <c r="F522" s="131"/>
      <c r="G522"/>
      <c r="H522"/>
      <c r="I522"/>
    </row>
    <row r="523" spans="5:9" x14ac:dyDescent="0.25">
      <c r="E523"/>
      <c r="F523" s="131"/>
      <c r="G523"/>
      <c r="H523"/>
      <c r="I523"/>
    </row>
    <row r="524" spans="5:9" x14ac:dyDescent="0.25">
      <c r="E524"/>
      <c r="F524" s="131"/>
      <c r="G524"/>
      <c r="H524"/>
      <c r="I524"/>
    </row>
    <row r="525" spans="5:9" x14ac:dyDescent="0.25">
      <c r="E525"/>
      <c r="F525" s="131"/>
      <c r="G525"/>
      <c r="H525"/>
      <c r="I525"/>
    </row>
    <row r="526" spans="5:9" x14ac:dyDescent="0.25">
      <c r="E526"/>
      <c r="F526" s="131"/>
      <c r="G526"/>
      <c r="H526"/>
      <c r="I526"/>
    </row>
    <row r="527" spans="5:9" x14ac:dyDescent="0.25">
      <c r="E527"/>
      <c r="F527" s="131"/>
      <c r="G527"/>
      <c r="H527"/>
      <c r="I527"/>
    </row>
    <row r="528" spans="5:9" x14ac:dyDescent="0.25">
      <c r="E528"/>
      <c r="F528" s="131"/>
      <c r="G528"/>
      <c r="H528"/>
      <c r="I528"/>
    </row>
    <row r="529" spans="5:9" x14ac:dyDescent="0.25">
      <c r="E529"/>
      <c r="F529" s="131"/>
      <c r="G529"/>
      <c r="H529"/>
      <c r="I529"/>
    </row>
    <row r="530" spans="5:9" x14ac:dyDescent="0.25">
      <c r="E530"/>
      <c r="F530" s="131"/>
      <c r="G530"/>
      <c r="H530"/>
      <c r="I530"/>
    </row>
    <row r="531" spans="5:9" x14ac:dyDescent="0.25">
      <c r="E531"/>
      <c r="F531" s="131"/>
      <c r="G531"/>
      <c r="H531"/>
      <c r="I531"/>
    </row>
    <row r="532" spans="5:9" x14ac:dyDescent="0.25">
      <c r="E532"/>
      <c r="F532" s="131"/>
      <c r="G532"/>
      <c r="H532"/>
      <c r="I532"/>
    </row>
    <row r="533" spans="5:9" x14ac:dyDescent="0.25">
      <c r="E533"/>
      <c r="F533" s="131"/>
      <c r="G533"/>
      <c r="H533"/>
      <c r="I533"/>
    </row>
    <row r="534" spans="5:9" x14ac:dyDescent="0.25">
      <c r="E534"/>
      <c r="F534" s="131"/>
      <c r="G534"/>
      <c r="H534"/>
      <c r="I534"/>
    </row>
    <row r="535" spans="5:9" x14ac:dyDescent="0.25">
      <c r="E535"/>
      <c r="F535" s="131"/>
      <c r="G535"/>
      <c r="H535"/>
      <c r="I535"/>
    </row>
    <row r="536" spans="5:9" x14ac:dyDescent="0.25">
      <c r="E536"/>
      <c r="F536" s="131"/>
      <c r="G536"/>
      <c r="H536"/>
      <c r="I536"/>
    </row>
    <row r="537" spans="5:9" x14ac:dyDescent="0.25">
      <c r="E537"/>
      <c r="F537" s="131"/>
      <c r="G537"/>
      <c r="H537"/>
      <c r="I537"/>
    </row>
    <row r="538" spans="5:9" x14ac:dyDescent="0.25">
      <c r="E538"/>
      <c r="F538" s="131"/>
      <c r="G538"/>
      <c r="H538"/>
      <c r="I538"/>
    </row>
    <row r="539" spans="5:9" x14ac:dyDescent="0.25">
      <c r="E539"/>
      <c r="F539" s="131"/>
      <c r="G539"/>
      <c r="H539"/>
      <c r="I539"/>
    </row>
    <row r="540" spans="5:9" x14ac:dyDescent="0.25">
      <c r="E540"/>
      <c r="F540" s="131"/>
      <c r="G540"/>
      <c r="H540"/>
      <c r="I540"/>
    </row>
    <row r="541" spans="5:9" x14ac:dyDescent="0.25">
      <c r="E541"/>
      <c r="F541" s="131"/>
      <c r="G541"/>
      <c r="H541"/>
      <c r="I541"/>
    </row>
    <row r="542" spans="5:9" x14ac:dyDescent="0.25">
      <c r="E542"/>
      <c r="F542" s="131"/>
      <c r="G542"/>
      <c r="H542"/>
      <c r="I542"/>
    </row>
    <row r="543" spans="5:9" x14ac:dyDescent="0.25">
      <c r="E543"/>
      <c r="F543" s="131"/>
      <c r="G543"/>
      <c r="H543"/>
      <c r="I543"/>
    </row>
    <row r="544" spans="5:9" x14ac:dyDescent="0.25">
      <c r="E544"/>
      <c r="F544" s="131"/>
      <c r="G544"/>
      <c r="H544"/>
      <c r="I544"/>
    </row>
    <row r="545" spans="5:9" x14ac:dyDescent="0.25">
      <c r="E545"/>
      <c r="F545" s="131"/>
      <c r="G545"/>
      <c r="H545"/>
      <c r="I545"/>
    </row>
    <row r="546" spans="5:9" x14ac:dyDescent="0.25">
      <c r="E546"/>
      <c r="F546" s="131"/>
      <c r="G546"/>
      <c r="H546"/>
      <c r="I546"/>
    </row>
    <row r="547" spans="5:9" x14ac:dyDescent="0.25">
      <c r="E547"/>
      <c r="F547" s="131"/>
      <c r="G547"/>
      <c r="H547"/>
      <c r="I547"/>
    </row>
    <row r="548" spans="5:9" x14ac:dyDescent="0.25">
      <c r="E548"/>
      <c r="F548" s="131"/>
      <c r="G548"/>
      <c r="H548"/>
      <c r="I548"/>
    </row>
    <row r="549" spans="5:9" x14ac:dyDescent="0.25">
      <c r="E549"/>
      <c r="F549" s="131"/>
      <c r="G549"/>
      <c r="H549"/>
      <c r="I549"/>
    </row>
    <row r="550" spans="5:9" x14ac:dyDescent="0.25">
      <c r="E550"/>
      <c r="F550" s="131"/>
      <c r="G550"/>
      <c r="H550"/>
      <c r="I550"/>
    </row>
    <row r="551" spans="5:9" x14ac:dyDescent="0.25">
      <c r="E551"/>
      <c r="F551" s="131"/>
      <c r="G551"/>
      <c r="H551"/>
      <c r="I551"/>
    </row>
    <row r="552" spans="5:9" x14ac:dyDescent="0.25">
      <c r="E552"/>
      <c r="F552" s="131"/>
      <c r="G552"/>
      <c r="H552"/>
      <c r="I552"/>
    </row>
    <row r="553" spans="5:9" x14ac:dyDescent="0.25">
      <c r="E553"/>
      <c r="F553" s="131"/>
      <c r="G553"/>
      <c r="H553"/>
      <c r="I553"/>
    </row>
    <row r="554" spans="5:9" x14ac:dyDescent="0.25">
      <c r="E554"/>
      <c r="F554" s="131"/>
      <c r="G554"/>
      <c r="H554"/>
      <c r="I554"/>
    </row>
    <row r="555" spans="5:9" x14ac:dyDescent="0.25">
      <c r="E555"/>
      <c r="F555" s="131"/>
      <c r="G555"/>
      <c r="H555"/>
      <c r="I555"/>
    </row>
    <row r="556" spans="5:9" x14ac:dyDescent="0.25">
      <c r="E556"/>
      <c r="F556" s="131"/>
      <c r="G556"/>
      <c r="H556"/>
      <c r="I556"/>
    </row>
    <row r="557" spans="5:9" x14ac:dyDescent="0.25">
      <c r="E557"/>
      <c r="F557" s="131"/>
      <c r="G557"/>
      <c r="H557"/>
      <c r="I557"/>
    </row>
    <row r="558" spans="5:9" x14ac:dyDescent="0.25">
      <c r="E558"/>
      <c r="F558" s="131"/>
      <c r="G558"/>
      <c r="H558"/>
      <c r="I558"/>
    </row>
    <row r="559" spans="5:9" x14ac:dyDescent="0.25">
      <c r="E559"/>
      <c r="F559" s="131"/>
      <c r="G559"/>
      <c r="H559"/>
      <c r="I559"/>
    </row>
    <row r="560" spans="5:9" x14ac:dyDescent="0.25">
      <c r="E560"/>
      <c r="F560" s="131"/>
      <c r="G560"/>
      <c r="H560"/>
      <c r="I560"/>
    </row>
    <row r="561" spans="5:9" x14ac:dyDescent="0.25">
      <c r="E561"/>
      <c r="F561" s="131"/>
      <c r="G561"/>
      <c r="H561"/>
      <c r="I561"/>
    </row>
    <row r="562" spans="5:9" x14ac:dyDescent="0.25">
      <c r="E562"/>
      <c r="F562" s="131"/>
      <c r="G562"/>
      <c r="H562"/>
      <c r="I562"/>
    </row>
    <row r="563" spans="5:9" x14ac:dyDescent="0.25">
      <c r="E563"/>
      <c r="F563" s="131"/>
      <c r="G563"/>
      <c r="H563"/>
      <c r="I563"/>
    </row>
    <row r="564" spans="5:9" x14ac:dyDescent="0.25">
      <c r="E564"/>
      <c r="F564" s="131"/>
      <c r="G564"/>
      <c r="H564"/>
      <c r="I564"/>
    </row>
    <row r="565" spans="5:9" x14ac:dyDescent="0.25">
      <c r="E565"/>
      <c r="F565" s="131"/>
      <c r="G565"/>
      <c r="H565"/>
      <c r="I565"/>
    </row>
    <row r="566" spans="5:9" x14ac:dyDescent="0.25">
      <c r="E566"/>
      <c r="F566" s="131"/>
      <c r="G566"/>
      <c r="H566"/>
      <c r="I566"/>
    </row>
    <row r="567" spans="5:9" x14ac:dyDescent="0.25">
      <c r="E567"/>
      <c r="F567" s="131"/>
      <c r="G567"/>
      <c r="H567"/>
      <c r="I567"/>
    </row>
    <row r="568" spans="5:9" x14ac:dyDescent="0.25">
      <c r="E568"/>
      <c r="F568" s="131"/>
      <c r="G568"/>
      <c r="H568"/>
      <c r="I568"/>
    </row>
    <row r="569" spans="5:9" x14ac:dyDescent="0.25">
      <c r="E569"/>
      <c r="F569" s="131"/>
      <c r="G569"/>
      <c r="H569"/>
      <c r="I569"/>
    </row>
    <row r="570" spans="5:9" x14ac:dyDescent="0.25">
      <c r="E570"/>
      <c r="F570" s="131"/>
      <c r="G570"/>
      <c r="H570"/>
      <c r="I570"/>
    </row>
    <row r="571" spans="5:9" x14ac:dyDescent="0.25">
      <c r="E571"/>
      <c r="F571" s="131"/>
      <c r="G571"/>
      <c r="H571"/>
      <c r="I571"/>
    </row>
    <row r="572" spans="5:9" x14ac:dyDescent="0.25">
      <c r="E572"/>
      <c r="F572" s="131"/>
      <c r="G572"/>
      <c r="H572"/>
      <c r="I572"/>
    </row>
    <row r="573" spans="5:9" x14ac:dyDescent="0.25">
      <c r="E573"/>
      <c r="F573" s="131"/>
      <c r="G573"/>
      <c r="H573"/>
      <c r="I573"/>
    </row>
    <row r="574" spans="5:9" x14ac:dyDescent="0.25">
      <c r="E574"/>
      <c r="F574" s="131"/>
      <c r="G574"/>
      <c r="H574"/>
      <c r="I574"/>
    </row>
    <row r="575" spans="5:9" x14ac:dyDescent="0.25">
      <c r="E575"/>
      <c r="F575" s="131"/>
      <c r="G575"/>
      <c r="H575"/>
      <c r="I575"/>
    </row>
    <row r="576" spans="5:9" x14ac:dyDescent="0.25">
      <c r="E576"/>
      <c r="F576" s="131"/>
      <c r="G576"/>
      <c r="H576"/>
      <c r="I576"/>
    </row>
    <row r="577" spans="5:9" x14ac:dyDescent="0.25">
      <c r="E577"/>
      <c r="F577" s="131"/>
      <c r="G577"/>
      <c r="H577"/>
      <c r="I577"/>
    </row>
    <row r="578" spans="5:9" x14ac:dyDescent="0.25">
      <c r="E578"/>
      <c r="F578" s="131"/>
      <c r="G578"/>
      <c r="H578"/>
      <c r="I578"/>
    </row>
    <row r="579" spans="5:9" x14ac:dyDescent="0.25">
      <c r="E579"/>
      <c r="F579" s="131"/>
      <c r="G579"/>
      <c r="H579"/>
      <c r="I579"/>
    </row>
    <row r="580" spans="5:9" x14ac:dyDescent="0.25">
      <c r="E580"/>
      <c r="F580" s="131"/>
      <c r="G580"/>
      <c r="H580"/>
      <c r="I580"/>
    </row>
    <row r="581" spans="5:9" x14ac:dyDescent="0.25">
      <c r="E581"/>
      <c r="F581" s="131"/>
      <c r="G581"/>
      <c r="H581"/>
      <c r="I581"/>
    </row>
    <row r="582" spans="5:9" x14ac:dyDescent="0.25">
      <c r="E582"/>
      <c r="F582" s="131"/>
      <c r="G582"/>
      <c r="H582"/>
      <c r="I582"/>
    </row>
    <row r="583" spans="5:9" x14ac:dyDescent="0.25">
      <c r="E583"/>
      <c r="F583" s="131"/>
      <c r="G583"/>
      <c r="H583"/>
      <c r="I583"/>
    </row>
    <row r="584" spans="5:9" x14ac:dyDescent="0.25">
      <c r="E584"/>
      <c r="F584" s="131"/>
      <c r="G584"/>
      <c r="H584"/>
      <c r="I584"/>
    </row>
    <row r="585" spans="5:9" x14ac:dyDescent="0.25">
      <c r="E585"/>
      <c r="F585" s="131"/>
      <c r="G585"/>
      <c r="H585"/>
      <c r="I585"/>
    </row>
    <row r="586" spans="5:9" x14ac:dyDescent="0.25">
      <c r="E586"/>
      <c r="F586" s="131"/>
      <c r="G586"/>
      <c r="H586"/>
      <c r="I586"/>
    </row>
    <row r="587" spans="5:9" x14ac:dyDescent="0.25">
      <c r="E587"/>
      <c r="F587" s="131"/>
      <c r="G587"/>
      <c r="H587"/>
      <c r="I587"/>
    </row>
    <row r="588" spans="5:9" x14ac:dyDescent="0.25">
      <c r="E588"/>
      <c r="F588" s="131"/>
      <c r="G588"/>
      <c r="H588"/>
      <c r="I588"/>
    </row>
    <row r="589" spans="5:9" x14ac:dyDescent="0.25">
      <c r="E589"/>
      <c r="F589" s="131"/>
      <c r="G589"/>
      <c r="H589"/>
      <c r="I589"/>
    </row>
    <row r="590" spans="5:9" x14ac:dyDescent="0.25">
      <c r="E590"/>
      <c r="F590" s="131"/>
      <c r="G590"/>
      <c r="H590"/>
      <c r="I590"/>
    </row>
    <row r="591" spans="5:9" x14ac:dyDescent="0.25">
      <c r="E591"/>
      <c r="F591" s="131"/>
      <c r="G591"/>
      <c r="H591"/>
      <c r="I591"/>
    </row>
    <row r="592" spans="5:9" x14ac:dyDescent="0.25">
      <c r="E592"/>
      <c r="F592" s="131"/>
      <c r="G592"/>
      <c r="H592"/>
      <c r="I592"/>
    </row>
    <row r="593" spans="5:9" x14ac:dyDescent="0.25">
      <c r="E593"/>
      <c r="F593" s="131"/>
      <c r="G593"/>
      <c r="H593"/>
      <c r="I593"/>
    </row>
    <row r="594" spans="5:9" x14ac:dyDescent="0.25">
      <c r="E594"/>
      <c r="F594" s="131"/>
      <c r="G594"/>
      <c r="H594"/>
      <c r="I594"/>
    </row>
    <row r="595" spans="5:9" x14ac:dyDescent="0.25">
      <c r="E595"/>
      <c r="F595" s="131"/>
      <c r="G595"/>
      <c r="H595"/>
      <c r="I595"/>
    </row>
    <row r="596" spans="5:9" x14ac:dyDescent="0.25">
      <c r="E596"/>
      <c r="F596" s="131"/>
      <c r="G596"/>
      <c r="H596"/>
      <c r="I596"/>
    </row>
    <row r="597" spans="5:9" x14ac:dyDescent="0.25">
      <c r="E597"/>
      <c r="F597" s="131"/>
      <c r="G597"/>
      <c r="H597"/>
      <c r="I597"/>
    </row>
    <row r="598" spans="5:9" x14ac:dyDescent="0.25">
      <c r="E598"/>
      <c r="F598" s="131"/>
      <c r="G598"/>
      <c r="H598"/>
      <c r="I598"/>
    </row>
    <row r="599" spans="5:9" x14ac:dyDescent="0.25">
      <c r="E599"/>
      <c r="F599" s="131"/>
      <c r="G599"/>
      <c r="H599"/>
      <c r="I599"/>
    </row>
    <row r="600" spans="5:9" x14ac:dyDescent="0.25">
      <c r="E600"/>
      <c r="F600" s="131"/>
      <c r="G600"/>
      <c r="H600"/>
      <c r="I600"/>
    </row>
    <row r="601" spans="5:9" x14ac:dyDescent="0.25">
      <c r="E601"/>
      <c r="F601" s="131"/>
      <c r="G601"/>
      <c r="H601"/>
      <c r="I601"/>
    </row>
    <row r="602" spans="5:9" x14ac:dyDescent="0.25">
      <c r="E602"/>
      <c r="F602" s="131"/>
      <c r="G602"/>
      <c r="H602"/>
      <c r="I602"/>
    </row>
    <row r="603" spans="5:9" x14ac:dyDescent="0.25">
      <c r="E603"/>
      <c r="F603" s="131"/>
      <c r="G603"/>
      <c r="H603"/>
      <c r="I603"/>
    </row>
    <row r="604" spans="5:9" x14ac:dyDescent="0.25">
      <c r="E604"/>
      <c r="F604" s="131"/>
      <c r="G604"/>
      <c r="H604"/>
      <c r="I604"/>
    </row>
    <row r="605" spans="5:9" x14ac:dyDescent="0.25">
      <c r="E605"/>
      <c r="F605" s="131"/>
      <c r="G605"/>
      <c r="H605"/>
      <c r="I605"/>
    </row>
    <row r="606" spans="5:9" x14ac:dyDescent="0.25">
      <c r="E606"/>
      <c r="F606" s="131"/>
      <c r="G606"/>
      <c r="H606"/>
      <c r="I606"/>
    </row>
    <row r="607" spans="5:9" x14ac:dyDescent="0.25">
      <c r="E607"/>
      <c r="F607" s="131"/>
      <c r="G607"/>
      <c r="H607"/>
      <c r="I607"/>
    </row>
    <row r="608" spans="5:9" x14ac:dyDescent="0.25">
      <c r="E608"/>
      <c r="F608" s="131"/>
      <c r="G608"/>
      <c r="H608"/>
      <c r="I608"/>
    </row>
    <row r="609" spans="5:9" x14ac:dyDescent="0.25">
      <c r="E609"/>
      <c r="F609" s="131"/>
      <c r="G609"/>
      <c r="H609"/>
      <c r="I609"/>
    </row>
    <row r="610" spans="5:9" x14ac:dyDescent="0.25">
      <c r="E610"/>
      <c r="F610" s="131"/>
      <c r="G610"/>
      <c r="H610"/>
      <c r="I610"/>
    </row>
    <row r="611" spans="5:9" x14ac:dyDescent="0.25">
      <c r="E611"/>
      <c r="F611" s="131"/>
      <c r="G611"/>
      <c r="H611"/>
      <c r="I611"/>
    </row>
    <row r="612" spans="5:9" x14ac:dyDescent="0.25">
      <c r="E612"/>
      <c r="F612" s="131"/>
      <c r="G612"/>
      <c r="H612"/>
      <c r="I612"/>
    </row>
    <row r="613" spans="5:9" x14ac:dyDescent="0.25">
      <c r="E613"/>
      <c r="F613" s="131"/>
      <c r="G613"/>
      <c r="H613"/>
      <c r="I613"/>
    </row>
    <row r="614" spans="5:9" x14ac:dyDescent="0.25">
      <c r="E614"/>
      <c r="F614" s="131"/>
      <c r="G614"/>
      <c r="H614"/>
      <c r="I614"/>
    </row>
    <row r="615" spans="5:9" x14ac:dyDescent="0.25">
      <c r="E615"/>
      <c r="F615" s="131"/>
      <c r="G615"/>
      <c r="H615"/>
      <c r="I615"/>
    </row>
    <row r="616" spans="5:9" x14ac:dyDescent="0.25">
      <c r="E616"/>
      <c r="F616" s="131"/>
      <c r="G616"/>
      <c r="H616"/>
      <c r="I616"/>
    </row>
    <row r="617" spans="5:9" x14ac:dyDescent="0.25">
      <c r="E617"/>
      <c r="F617" s="131"/>
      <c r="G617"/>
      <c r="H617"/>
      <c r="I617"/>
    </row>
    <row r="618" spans="5:9" x14ac:dyDescent="0.25">
      <c r="E618"/>
      <c r="F618" s="131"/>
      <c r="G618"/>
      <c r="H618"/>
      <c r="I618"/>
    </row>
    <row r="619" spans="5:9" x14ac:dyDescent="0.25">
      <c r="E619"/>
      <c r="F619" s="131"/>
      <c r="G619"/>
      <c r="H619"/>
      <c r="I619"/>
    </row>
    <row r="620" spans="5:9" x14ac:dyDescent="0.25">
      <c r="E620"/>
      <c r="F620" s="131"/>
      <c r="G620"/>
      <c r="H620"/>
      <c r="I620"/>
    </row>
    <row r="621" spans="5:9" x14ac:dyDescent="0.25">
      <c r="E621"/>
      <c r="F621" s="131"/>
      <c r="G621"/>
      <c r="H621"/>
      <c r="I621"/>
    </row>
    <row r="622" spans="5:9" x14ac:dyDescent="0.25">
      <c r="E622"/>
      <c r="F622" s="131"/>
      <c r="G622"/>
      <c r="H622"/>
      <c r="I622"/>
    </row>
    <row r="623" spans="5:9" x14ac:dyDescent="0.25">
      <c r="E623"/>
      <c r="F623" s="131"/>
      <c r="G623"/>
      <c r="H623"/>
      <c r="I623"/>
    </row>
    <row r="624" spans="5:9" x14ac:dyDescent="0.25">
      <c r="E624"/>
      <c r="F624" s="131"/>
      <c r="G624"/>
      <c r="H624"/>
      <c r="I624"/>
    </row>
    <row r="625" spans="5:9" x14ac:dyDescent="0.25">
      <c r="E625"/>
      <c r="F625" s="131"/>
      <c r="G625"/>
      <c r="H625"/>
      <c r="I625"/>
    </row>
    <row r="626" spans="5:9" x14ac:dyDescent="0.25">
      <c r="E626"/>
      <c r="F626" s="131"/>
      <c r="G626"/>
      <c r="H626"/>
      <c r="I626"/>
    </row>
    <row r="627" spans="5:9" x14ac:dyDescent="0.25">
      <c r="E627"/>
      <c r="F627" s="131"/>
      <c r="G627"/>
      <c r="H627"/>
      <c r="I627"/>
    </row>
    <row r="628" spans="5:9" x14ac:dyDescent="0.25">
      <c r="E628"/>
      <c r="F628" s="131"/>
      <c r="G628"/>
      <c r="H628"/>
      <c r="I628"/>
    </row>
    <row r="629" spans="5:9" x14ac:dyDescent="0.25">
      <c r="E629"/>
      <c r="F629" s="131"/>
      <c r="G629"/>
      <c r="H629"/>
      <c r="I629"/>
    </row>
    <row r="630" spans="5:9" x14ac:dyDescent="0.25">
      <c r="E630"/>
      <c r="F630" s="131"/>
      <c r="G630"/>
      <c r="H630"/>
      <c r="I630"/>
    </row>
    <row r="631" spans="5:9" x14ac:dyDescent="0.25">
      <c r="E631"/>
      <c r="F631" s="131"/>
      <c r="G631"/>
      <c r="H631"/>
      <c r="I631"/>
    </row>
    <row r="632" spans="5:9" x14ac:dyDescent="0.25">
      <c r="E632"/>
      <c r="F632" s="131"/>
      <c r="G632"/>
      <c r="H632"/>
      <c r="I632"/>
    </row>
    <row r="633" spans="5:9" x14ac:dyDescent="0.25">
      <c r="E633"/>
      <c r="F633" s="131"/>
      <c r="G633"/>
      <c r="H633"/>
      <c r="I633"/>
    </row>
    <row r="634" spans="5:9" x14ac:dyDescent="0.25">
      <c r="E634"/>
      <c r="F634" s="131"/>
      <c r="G634"/>
      <c r="H634"/>
      <c r="I634"/>
    </row>
    <row r="635" spans="5:9" x14ac:dyDescent="0.25">
      <c r="E635"/>
      <c r="F635" s="131"/>
      <c r="G635"/>
      <c r="H635"/>
      <c r="I635"/>
    </row>
    <row r="636" spans="5:9" x14ac:dyDescent="0.25">
      <c r="E636"/>
      <c r="F636" s="131"/>
      <c r="G636"/>
      <c r="H636"/>
      <c r="I636"/>
    </row>
    <row r="637" spans="5:9" x14ac:dyDescent="0.25">
      <c r="E637"/>
      <c r="F637" s="131"/>
      <c r="G637"/>
      <c r="H637"/>
      <c r="I637"/>
    </row>
    <row r="638" spans="5:9" x14ac:dyDescent="0.25">
      <c r="E638"/>
      <c r="F638" s="131"/>
      <c r="G638"/>
      <c r="H638"/>
      <c r="I638"/>
    </row>
    <row r="639" spans="5:9" x14ac:dyDescent="0.25">
      <c r="E639"/>
      <c r="F639" s="131"/>
      <c r="G639"/>
      <c r="H639"/>
      <c r="I639"/>
    </row>
    <row r="640" spans="5:9" x14ac:dyDescent="0.25">
      <c r="E640"/>
      <c r="F640" s="131"/>
      <c r="G640"/>
      <c r="H640"/>
      <c r="I640"/>
    </row>
    <row r="641" spans="5:9" x14ac:dyDescent="0.25">
      <c r="E641"/>
      <c r="F641" s="131"/>
      <c r="G641"/>
      <c r="H641"/>
      <c r="I641"/>
    </row>
    <row r="642" spans="5:9" x14ac:dyDescent="0.25">
      <c r="E642"/>
      <c r="F642" s="131"/>
      <c r="G642"/>
      <c r="H642"/>
      <c r="I642"/>
    </row>
    <row r="643" spans="5:9" x14ac:dyDescent="0.25">
      <c r="E643"/>
      <c r="F643" s="131"/>
      <c r="G643"/>
      <c r="H643"/>
      <c r="I643"/>
    </row>
    <row r="644" spans="5:9" x14ac:dyDescent="0.25">
      <c r="E644"/>
      <c r="F644" s="131"/>
      <c r="G644"/>
      <c r="H644"/>
      <c r="I644"/>
    </row>
    <row r="645" spans="5:9" x14ac:dyDescent="0.25">
      <c r="E645"/>
      <c r="F645" s="131"/>
      <c r="G645"/>
      <c r="H645"/>
      <c r="I645"/>
    </row>
    <row r="646" spans="5:9" x14ac:dyDescent="0.25">
      <c r="E646"/>
      <c r="F646" s="131"/>
      <c r="G646"/>
      <c r="H646"/>
      <c r="I646"/>
    </row>
    <row r="647" spans="5:9" x14ac:dyDescent="0.25">
      <c r="E647"/>
      <c r="F647" s="131"/>
      <c r="G647"/>
      <c r="H647"/>
      <c r="I647"/>
    </row>
    <row r="648" spans="5:9" x14ac:dyDescent="0.25">
      <c r="E648"/>
      <c r="F648" s="131"/>
      <c r="G648"/>
      <c r="H648"/>
      <c r="I648"/>
    </row>
    <row r="649" spans="5:9" x14ac:dyDescent="0.25">
      <c r="E649"/>
      <c r="F649" s="131"/>
      <c r="G649"/>
      <c r="H649"/>
      <c r="I649"/>
    </row>
    <row r="650" spans="5:9" x14ac:dyDescent="0.25">
      <c r="E650"/>
      <c r="F650" s="131"/>
      <c r="G650"/>
      <c r="H650"/>
      <c r="I650"/>
    </row>
    <row r="651" spans="5:9" x14ac:dyDescent="0.25">
      <c r="E651"/>
      <c r="F651" s="131"/>
      <c r="G651"/>
      <c r="H651"/>
      <c r="I651"/>
    </row>
    <row r="652" spans="5:9" x14ac:dyDescent="0.25">
      <c r="E652"/>
      <c r="F652" s="131"/>
      <c r="G652"/>
      <c r="H652"/>
      <c r="I652"/>
    </row>
    <row r="653" spans="5:9" x14ac:dyDescent="0.25">
      <c r="E653"/>
      <c r="F653" s="131"/>
      <c r="G653"/>
      <c r="H653"/>
      <c r="I653"/>
    </row>
    <row r="654" spans="5:9" x14ac:dyDescent="0.25">
      <c r="E654"/>
      <c r="F654" s="131"/>
      <c r="G654"/>
      <c r="H654"/>
      <c r="I654"/>
    </row>
    <row r="655" spans="5:9" x14ac:dyDescent="0.25">
      <c r="E655"/>
      <c r="F655" s="131"/>
      <c r="G655"/>
      <c r="H655"/>
      <c r="I655"/>
    </row>
    <row r="656" spans="5:9" x14ac:dyDescent="0.25">
      <c r="E656"/>
      <c r="F656" s="131"/>
      <c r="G656"/>
      <c r="H656"/>
      <c r="I656"/>
    </row>
    <row r="657" spans="5:9" x14ac:dyDescent="0.25">
      <c r="E657"/>
      <c r="F657" s="131"/>
      <c r="G657"/>
      <c r="H657"/>
      <c r="I657"/>
    </row>
    <row r="658" spans="5:9" x14ac:dyDescent="0.25">
      <c r="E658"/>
      <c r="F658" s="131"/>
      <c r="G658"/>
      <c r="H658"/>
      <c r="I658"/>
    </row>
    <row r="659" spans="5:9" x14ac:dyDescent="0.25">
      <c r="E659"/>
      <c r="F659" s="131"/>
      <c r="G659"/>
      <c r="H659"/>
      <c r="I659"/>
    </row>
    <row r="660" spans="5:9" x14ac:dyDescent="0.25">
      <c r="E660"/>
      <c r="F660" s="131"/>
      <c r="G660"/>
      <c r="H660"/>
      <c r="I660"/>
    </row>
    <row r="661" spans="5:9" x14ac:dyDescent="0.25">
      <c r="E661"/>
      <c r="F661" s="131"/>
      <c r="G661"/>
      <c r="H661"/>
      <c r="I661"/>
    </row>
    <row r="662" spans="5:9" x14ac:dyDescent="0.25">
      <c r="E662"/>
      <c r="F662" s="131"/>
      <c r="G662"/>
      <c r="H662"/>
      <c r="I662"/>
    </row>
    <row r="663" spans="5:9" x14ac:dyDescent="0.25">
      <c r="E663"/>
      <c r="F663" s="131"/>
      <c r="G663"/>
      <c r="H663"/>
      <c r="I663"/>
    </row>
    <row r="664" spans="5:9" x14ac:dyDescent="0.25">
      <c r="E664"/>
      <c r="F664" s="131"/>
      <c r="G664"/>
      <c r="H664"/>
      <c r="I664"/>
    </row>
    <row r="665" spans="5:9" x14ac:dyDescent="0.25">
      <c r="E665"/>
      <c r="F665" s="131"/>
      <c r="G665"/>
      <c r="H665"/>
      <c r="I665"/>
    </row>
    <row r="666" spans="5:9" x14ac:dyDescent="0.25">
      <c r="E666"/>
      <c r="F666" s="131"/>
      <c r="G666"/>
      <c r="H666"/>
      <c r="I666"/>
    </row>
    <row r="667" spans="5:9" x14ac:dyDescent="0.25">
      <c r="E667"/>
      <c r="F667" s="131"/>
      <c r="G667"/>
      <c r="H667"/>
      <c r="I667"/>
    </row>
    <row r="668" spans="5:9" x14ac:dyDescent="0.25">
      <c r="E668"/>
      <c r="F668" s="131"/>
      <c r="G668"/>
      <c r="H668"/>
      <c r="I668"/>
    </row>
    <row r="669" spans="5:9" x14ac:dyDescent="0.25">
      <c r="E669"/>
      <c r="F669" s="131"/>
      <c r="G669"/>
      <c r="H669"/>
      <c r="I669"/>
    </row>
    <row r="670" spans="5:9" x14ac:dyDescent="0.25">
      <c r="E670"/>
      <c r="F670" s="131"/>
      <c r="G670"/>
      <c r="H670"/>
      <c r="I670"/>
    </row>
    <row r="671" spans="5:9" x14ac:dyDescent="0.25">
      <c r="E671"/>
      <c r="F671" s="131"/>
      <c r="G671"/>
      <c r="H671"/>
      <c r="I671"/>
    </row>
    <row r="672" spans="5:9" x14ac:dyDescent="0.25">
      <c r="E672"/>
      <c r="F672" s="131"/>
      <c r="G672"/>
      <c r="H672"/>
      <c r="I672"/>
    </row>
    <row r="673" spans="5:9" x14ac:dyDescent="0.25">
      <c r="E673"/>
      <c r="F673" s="131"/>
      <c r="G673"/>
      <c r="H673"/>
      <c r="I673"/>
    </row>
    <row r="674" spans="5:9" x14ac:dyDescent="0.25">
      <c r="E674"/>
      <c r="F674" s="131"/>
      <c r="G674"/>
      <c r="H674"/>
      <c r="I674"/>
    </row>
    <row r="675" spans="5:9" x14ac:dyDescent="0.25">
      <c r="E675"/>
      <c r="F675" s="131"/>
      <c r="G675"/>
      <c r="H675"/>
      <c r="I675"/>
    </row>
    <row r="676" spans="5:9" x14ac:dyDescent="0.25">
      <c r="E676"/>
      <c r="F676" s="131"/>
      <c r="G676"/>
      <c r="H676"/>
      <c r="I676"/>
    </row>
    <row r="677" spans="5:9" x14ac:dyDescent="0.25">
      <c r="E677"/>
      <c r="F677" s="131"/>
      <c r="G677"/>
      <c r="H677"/>
      <c r="I677"/>
    </row>
    <row r="678" spans="5:9" x14ac:dyDescent="0.25">
      <c r="E678"/>
      <c r="F678" s="131"/>
      <c r="G678"/>
      <c r="H678"/>
      <c r="I678"/>
    </row>
    <row r="679" spans="5:9" x14ac:dyDescent="0.25">
      <c r="E679"/>
      <c r="F679" s="131"/>
      <c r="G679"/>
      <c r="H679"/>
      <c r="I679"/>
    </row>
    <row r="680" spans="5:9" x14ac:dyDescent="0.25">
      <c r="E680"/>
      <c r="F680" s="131"/>
      <c r="G680"/>
      <c r="H680"/>
      <c r="I680"/>
    </row>
    <row r="681" spans="5:9" x14ac:dyDescent="0.25">
      <c r="E681"/>
      <c r="F681" s="131"/>
      <c r="G681"/>
      <c r="H681"/>
      <c r="I681"/>
    </row>
    <row r="682" spans="5:9" x14ac:dyDescent="0.25">
      <c r="E682"/>
      <c r="F682" s="131"/>
      <c r="G682"/>
      <c r="H682"/>
      <c r="I682"/>
    </row>
    <row r="683" spans="5:9" x14ac:dyDescent="0.25">
      <c r="E683"/>
      <c r="F683" s="131"/>
      <c r="G683"/>
      <c r="H683"/>
      <c r="I683"/>
    </row>
    <row r="684" spans="5:9" x14ac:dyDescent="0.25">
      <c r="E684"/>
      <c r="F684" s="131"/>
      <c r="G684"/>
      <c r="H684"/>
      <c r="I684"/>
    </row>
    <row r="685" spans="5:9" x14ac:dyDescent="0.25">
      <c r="E685"/>
      <c r="F685" s="131"/>
      <c r="G685"/>
      <c r="H685"/>
      <c r="I685"/>
    </row>
    <row r="686" spans="5:9" x14ac:dyDescent="0.25">
      <c r="E686"/>
      <c r="F686" s="131"/>
      <c r="G686"/>
      <c r="H686"/>
      <c r="I686"/>
    </row>
    <row r="687" spans="5:9" x14ac:dyDescent="0.25">
      <c r="E687"/>
      <c r="F687" s="131"/>
      <c r="G687"/>
      <c r="H687"/>
      <c r="I687"/>
    </row>
    <row r="688" spans="5:9" x14ac:dyDescent="0.25">
      <c r="E688"/>
      <c r="F688" s="131"/>
      <c r="G688"/>
      <c r="H688"/>
      <c r="I688"/>
    </row>
    <row r="689" spans="5:9" x14ac:dyDescent="0.25">
      <c r="E689"/>
      <c r="F689" s="131"/>
      <c r="G689"/>
      <c r="H689"/>
      <c r="I689"/>
    </row>
    <row r="690" spans="5:9" x14ac:dyDescent="0.25">
      <c r="E690"/>
      <c r="F690" s="131"/>
      <c r="G690"/>
      <c r="H690"/>
      <c r="I690"/>
    </row>
    <row r="691" spans="5:9" x14ac:dyDescent="0.25">
      <c r="E691"/>
      <c r="F691" s="131"/>
      <c r="G691"/>
      <c r="H691"/>
      <c r="I691"/>
    </row>
    <row r="692" spans="5:9" x14ac:dyDescent="0.25">
      <c r="E692"/>
      <c r="F692" s="131"/>
      <c r="G692"/>
      <c r="H692"/>
      <c r="I692"/>
    </row>
    <row r="693" spans="5:9" x14ac:dyDescent="0.25">
      <c r="E693"/>
      <c r="F693" s="131"/>
      <c r="G693"/>
      <c r="H693"/>
      <c r="I693"/>
    </row>
    <row r="694" spans="5:9" x14ac:dyDescent="0.25">
      <c r="E694"/>
      <c r="F694" s="131"/>
      <c r="G694"/>
      <c r="H694"/>
      <c r="I694"/>
    </row>
    <row r="695" spans="5:9" x14ac:dyDescent="0.25">
      <c r="E695"/>
      <c r="F695" s="131"/>
      <c r="G695"/>
      <c r="H695"/>
      <c r="I695"/>
    </row>
    <row r="696" spans="5:9" x14ac:dyDescent="0.25">
      <c r="E696"/>
      <c r="F696" s="131"/>
      <c r="G696"/>
      <c r="H696"/>
      <c r="I696"/>
    </row>
    <row r="697" spans="5:9" x14ac:dyDescent="0.25">
      <c r="E697"/>
      <c r="F697" s="131"/>
      <c r="G697"/>
      <c r="H697"/>
      <c r="I697"/>
    </row>
    <row r="698" spans="5:9" x14ac:dyDescent="0.25">
      <c r="E698"/>
      <c r="F698" s="131"/>
      <c r="G698"/>
      <c r="H698"/>
      <c r="I698"/>
    </row>
    <row r="699" spans="5:9" x14ac:dyDescent="0.25">
      <c r="E699"/>
      <c r="F699" s="131"/>
      <c r="G699"/>
      <c r="H699"/>
      <c r="I699"/>
    </row>
    <row r="700" spans="5:9" x14ac:dyDescent="0.25">
      <c r="E700"/>
      <c r="F700" s="131"/>
      <c r="G700"/>
      <c r="H700"/>
      <c r="I700"/>
    </row>
    <row r="701" spans="5:9" x14ac:dyDescent="0.25">
      <c r="E701"/>
      <c r="F701" s="131"/>
      <c r="G701"/>
      <c r="H701"/>
      <c r="I701"/>
    </row>
    <row r="702" spans="5:9" x14ac:dyDescent="0.25">
      <c r="E702"/>
      <c r="F702" s="131"/>
      <c r="G702"/>
      <c r="H702"/>
      <c r="I702"/>
    </row>
    <row r="703" spans="5:9" x14ac:dyDescent="0.25">
      <c r="E703"/>
      <c r="F703" s="131"/>
      <c r="G703"/>
      <c r="H703"/>
      <c r="I703"/>
    </row>
    <row r="704" spans="5:9" x14ac:dyDescent="0.25">
      <c r="E704"/>
      <c r="F704" s="131"/>
      <c r="G704"/>
      <c r="H704"/>
      <c r="I704"/>
    </row>
    <row r="705" spans="5:9" x14ac:dyDescent="0.25">
      <c r="E705"/>
      <c r="F705" s="131"/>
      <c r="G705"/>
      <c r="H705"/>
      <c r="I705"/>
    </row>
    <row r="706" spans="5:9" x14ac:dyDescent="0.25">
      <c r="E706"/>
      <c r="F706" s="131"/>
      <c r="G706"/>
      <c r="H706"/>
      <c r="I706"/>
    </row>
    <row r="707" spans="5:9" x14ac:dyDescent="0.25">
      <c r="E707"/>
      <c r="F707" s="131"/>
      <c r="G707"/>
      <c r="H707"/>
      <c r="I707"/>
    </row>
    <row r="708" spans="5:9" x14ac:dyDescent="0.25">
      <c r="E708"/>
      <c r="F708" s="131"/>
      <c r="G708"/>
      <c r="H708"/>
      <c r="I708"/>
    </row>
    <row r="709" spans="5:9" x14ac:dyDescent="0.25">
      <c r="E709"/>
      <c r="F709" s="131"/>
      <c r="G709"/>
      <c r="H709"/>
      <c r="I709"/>
    </row>
    <row r="710" spans="5:9" x14ac:dyDescent="0.25">
      <c r="E710"/>
      <c r="F710" s="131"/>
      <c r="G710"/>
      <c r="H710"/>
      <c r="I710"/>
    </row>
    <row r="711" spans="5:9" x14ac:dyDescent="0.25">
      <c r="E711"/>
      <c r="F711" s="131"/>
      <c r="G711"/>
      <c r="H711"/>
      <c r="I711"/>
    </row>
    <row r="712" spans="5:9" x14ac:dyDescent="0.25">
      <c r="E712"/>
      <c r="F712" s="131"/>
      <c r="G712"/>
      <c r="H712"/>
      <c r="I712"/>
    </row>
    <row r="713" spans="5:9" x14ac:dyDescent="0.25">
      <c r="E713"/>
      <c r="F713" s="131"/>
      <c r="G713"/>
      <c r="H713"/>
      <c r="I713"/>
    </row>
    <row r="714" spans="5:9" x14ac:dyDescent="0.25">
      <c r="E714"/>
      <c r="F714" s="131"/>
      <c r="G714"/>
      <c r="H714"/>
      <c r="I714"/>
    </row>
    <row r="715" spans="5:9" x14ac:dyDescent="0.25">
      <c r="E715"/>
      <c r="F715" s="131"/>
      <c r="G715"/>
      <c r="H715"/>
      <c r="I715"/>
    </row>
    <row r="716" spans="5:9" x14ac:dyDescent="0.25">
      <c r="E716"/>
      <c r="F716" s="131"/>
      <c r="G716"/>
      <c r="H716"/>
      <c r="I716"/>
    </row>
    <row r="717" spans="5:9" x14ac:dyDescent="0.25">
      <c r="E717"/>
      <c r="F717" s="131"/>
      <c r="G717"/>
      <c r="H717"/>
      <c r="I717"/>
    </row>
    <row r="718" spans="5:9" x14ac:dyDescent="0.25">
      <c r="E718"/>
      <c r="F718" s="131"/>
      <c r="G718"/>
      <c r="H718"/>
      <c r="I718"/>
    </row>
    <row r="719" spans="5:9" x14ac:dyDescent="0.25">
      <c r="E719"/>
      <c r="F719" s="131"/>
      <c r="G719"/>
      <c r="H719"/>
      <c r="I719"/>
    </row>
    <row r="720" spans="5:9" x14ac:dyDescent="0.25">
      <c r="E720"/>
      <c r="F720" s="131"/>
      <c r="G720"/>
      <c r="H720"/>
      <c r="I720"/>
    </row>
    <row r="721" spans="5:9" x14ac:dyDescent="0.25">
      <c r="E721"/>
      <c r="F721" s="131"/>
      <c r="G721"/>
      <c r="H721"/>
      <c r="I721"/>
    </row>
    <row r="722" spans="5:9" x14ac:dyDescent="0.25">
      <c r="E722"/>
      <c r="F722" s="131"/>
      <c r="G722"/>
      <c r="H722"/>
      <c r="I722"/>
    </row>
    <row r="723" spans="5:9" x14ac:dyDescent="0.25">
      <c r="E723"/>
      <c r="F723" s="131"/>
      <c r="G723"/>
      <c r="H723"/>
      <c r="I723"/>
    </row>
    <row r="724" spans="5:9" x14ac:dyDescent="0.25">
      <c r="E724"/>
      <c r="F724" s="131"/>
      <c r="G724"/>
      <c r="H724"/>
      <c r="I724"/>
    </row>
    <row r="725" spans="5:9" x14ac:dyDescent="0.25">
      <c r="E725"/>
      <c r="F725" s="131"/>
      <c r="G725"/>
      <c r="H725"/>
      <c r="I725"/>
    </row>
    <row r="726" spans="5:9" x14ac:dyDescent="0.25">
      <c r="E726"/>
      <c r="F726" s="131"/>
      <c r="G726"/>
      <c r="H726"/>
      <c r="I726"/>
    </row>
    <row r="727" spans="5:9" x14ac:dyDescent="0.25">
      <c r="E727"/>
      <c r="F727" s="131"/>
      <c r="G727"/>
      <c r="H727"/>
      <c r="I727"/>
    </row>
    <row r="728" spans="5:9" x14ac:dyDescent="0.25">
      <c r="E728"/>
      <c r="F728" s="131"/>
      <c r="G728"/>
      <c r="H728"/>
      <c r="I728"/>
    </row>
    <row r="729" spans="5:9" x14ac:dyDescent="0.25">
      <c r="E729"/>
      <c r="F729" s="131"/>
      <c r="G729"/>
      <c r="H729"/>
      <c r="I729"/>
    </row>
    <row r="730" spans="5:9" x14ac:dyDescent="0.25">
      <c r="E730"/>
      <c r="F730" s="131"/>
      <c r="G730"/>
      <c r="H730"/>
      <c r="I730"/>
    </row>
    <row r="731" spans="5:9" x14ac:dyDescent="0.25">
      <c r="E731"/>
      <c r="F731" s="131"/>
      <c r="G731"/>
      <c r="H731"/>
      <c r="I731"/>
    </row>
    <row r="732" spans="5:9" x14ac:dyDescent="0.25">
      <c r="E732"/>
      <c r="F732" s="131"/>
      <c r="G732"/>
      <c r="H732"/>
      <c r="I732"/>
    </row>
    <row r="733" spans="5:9" x14ac:dyDescent="0.25">
      <c r="E733"/>
      <c r="F733" s="131"/>
      <c r="G733"/>
      <c r="H733"/>
      <c r="I733"/>
    </row>
    <row r="734" spans="5:9" x14ac:dyDescent="0.25">
      <c r="E734"/>
      <c r="F734" s="131"/>
      <c r="G734"/>
      <c r="H734"/>
      <c r="I734"/>
    </row>
    <row r="735" spans="5:9" x14ac:dyDescent="0.25">
      <c r="E735"/>
      <c r="F735" s="131"/>
      <c r="G735"/>
      <c r="H735"/>
      <c r="I735"/>
    </row>
    <row r="736" spans="5:9" x14ac:dyDescent="0.25">
      <c r="E736"/>
      <c r="F736" s="131"/>
      <c r="G736"/>
      <c r="H736"/>
      <c r="I736"/>
    </row>
    <row r="737" spans="5:9" x14ac:dyDescent="0.25">
      <c r="E737"/>
      <c r="F737" s="131"/>
      <c r="G737"/>
      <c r="H737"/>
      <c r="I737"/>
    </row>
    <row r="738" spans="5:9" x14ac:dyDescent="0.25">
      <c r="E738"/>
      <c r="F738" s="131"/>
      <c r="G738"/>
      <c r="H738"/>
      <c r="I738"/>
    </row>
    <row r="739" spans="5:9" x14ac:dyDescent="0.25">
      <c r="E739"/>
      <c r="F739" s="131"/>
      <c r="G739"/>
      <c r="H739"/>
      <c r="I739"/>
    </row>
    <row r="740" spans="5:9" x14ac:dyDescent="0.25">
      <c r="E740"/>
      <c r="F740" s="131"/>
      <c r="G740"/>
      <c r="H740"/>
      <c r="I740"/>
    </row>
    <row r="741" spans="5:9" x14ac:dyDescent="0.25">
      <c r="E741"/>
      <c r="F741" s="131"/>
      <c r="G741"/>
      <c r="H741"/>
      <c r="I741"/>
    </row>
    <row r="742" spans="5:9" x14ac:dyDescent="0.25">
      <c r="E742"/>
      <c r="F742" s="131"/>
      <c r="G742"/>
      <c r="H742"/>
      <c r="I742"/>
    </row>
    <row r="743" spans="5:9" x14ac:dyDescent="0.25">
      <c r="E743"/>
      <c r="F743" s="131"/>
      <c r="G743"/>
      <c r="H743"/>
      <c r="I743"/>
    </row>
    <row r="744" spans="5:9" x14ac:dyDescent="0.25">
      <c r="E744"/>
      <c r="F744" s="131"/>
      <c r="G744"/>
      <c r="H744"/>
      <c r="I744"/>
    </row>
    <row r="745" spans="5:9" x14ac:dyDescent="0.25">
      <c r="E745"/>
      <c r="F745" s="131"/>
      <c r="G745"/>
      <c r="H745"/>
      <c r="I745"/>
    </row>
    <row r="746" spans="5:9" x14ac:dyDescent="0.25">
      <c r="E746"/>
      <c r="F746" s="131"/>
      <c r="G746"/>
      <c r="H746"/>
      <c r="I746"/>
    </row>
    <row r="747" spans="5:9" x14ac:dyDescent="0.25">
      <c r="E747"/>
      <c r="F747" s="131"/>
      <c r="G747"/>
      <c r="H747"/>
      <c r="I747"/>
    </row>
    <row r="748" spans="5:9" x14ac:dyDescent="0.25">
      <c r="E748"/>
      <c r="F748" s="131"/>
      <c r="G748"/>
      <c r="H748"/>
      <c r="I748"/>
    </row>
    <row r="749" spans="5:9" x14ac:dyDescent="0.25">
      <c r="E749"/>
      <c r="F749" s="131"/>
      <c r="G749"/>
      <c r="H749"/>
      <c r="I749"/>
    </row>
    <row r="750" spans="5:9" x14ac:dyDescent="0.25">
      <c r="E750"/>
      <c r="F750" s="131"/>
      <c r="G750"/>
      <c r="H750"/>
      <c r="I750"/>
    </row>
    <row r="751" spans="5:9" x14ac:dyDescent="0.25">
      <c r="E751"/>
      <c r="F751" s="131"/>
      <c r="G751"/>
      <c r="H751"/>
      <c r="I751"/>
    </row>
    <row r="752" spans="5:9" x14ac:dyDescent="0.25">
      <c r="E752"/>
      <c r="F752" s="131"/>
      <c r="G752"/>
      <c r="H752"/>
      <c r="I752"/>
    </row>
    <row r="753" spans="5:9" x14ac:dyDescent="0.25">
      <c r="E753"/>
      <c r="F753" s="131"/>
      <c r="G753"/>
      <c r="H753"/>
      <c r="I753"/>
    </row>
    <row r="754" spans="5:9" x14ac:dyDescent="0.25">
      <c r="E754"/>
      <c r="F754" s="131"/>
      <c r="G754"/>
      <c r="H754"/>
      <c r="I754"/>
    </row>
    <row r="755" spans="5:9" x14ac:dyDescent="0.25">
      <c r="E755"/>
      <c r="F755" s="131"/>
      <c r="G755"/>
      <c r="H755"/>
      <c r="I755"/>
    </row>
    <row r="756" spans="5:9" x14ac:dyDescent="0.25">
      <c r="E756"/>
      <c r="F756" s="131"/>
      <c r="G756"/>
      <c r="H756"/>
      <c r="I756"/>
    </row>
    <row r="757" spans="5:9" x14ac:dyDescent="0.25">
      <c r="E757"/>
      <c r="F757" s="131"/>
      <c r="G757"/>
      <c r="H757"/>
      <c r="I757"/>
    </row>
    <row r="758" spans="5:9" x14ac:dyDescent="0.25">
      <c r="E758"/>
      <c r="F758" s="131"/>
      <c r="G758"/>
      <c r="H758"/>
      <c r="I758"/>
    </row>
    <row r="759" spans="5:9" x14ac:dyDescent="0.25">
      <c r="E759"/>
      <c r="F759" s="131"/>
      <c r="G759"/>
      <c r="H759"/>
      <c r="I759"/>
    </row>
    <row r="760" spans="5:9" x14ac:dyDescent="0.25">
      <c r="E760"/>
      <c r="F760" s="131"/>
      <c r="G760"/>
      <c r="H760"/>
      <c r="I760"/>
    </row>
    <row r="761" spans="5:9" x14ac:dyDescent="0.25">
      <c r="E761"/>
      <c r="F761" s="131"/>
      <c r="G761"/>
      <c r="H761"/>
      <c r="I761"/>
    </row>
    <row r="762" spans="5:9" x14ac:dyDescent="0.25">
      <c r="E762"/>
      <c r="F762" s="131"/>
      <c r="G762"/>
      <c r="H762"/>
      <c r="I762"/>
    </row>
    <row r="763" spans="5:9" x14ac:dyDescent="0.25">
      <c r="E763"/>
      <c r="F763" s="131"/>
      <c r="G763"/>
      <c r="H763"/>
      <c r="I763"/>
    </row>
    <row r="764" spans="5:9" x14ac:dyDescent="0.25">
      <c r="E764"/>
      <c r="F764" s="131"/>
      <c r="G764"/>
      <c r="H764"/>
      <c r="I764"/>
    </row>
    <row r="765" spans="5:9" x14ac:dyDescent="0.25">
      <c r="E765"/>
      <c r="F765" s="131"/>
      <c r="G765"/>
      <c r="H765"/>
      <c r="I765"/>
    </row>
    <row r="766" spans="5:9" x14ac:dyDescent="0.25">
      <c r="E766"/>
      <c r="F766" s="131"/>
      <c r="G766"/>
      <c r="H766"/>
      <c r="I766"/>
    </row>
    <row r="767" spans="5:9" x14ac:dyDescent="0.25">
      <c r="E767"/>
      <c r="F767" s="131"/>
      <c r="G767"/>
      <c r="H767"/>
      <c r="I767"/>
    </row>
    <row r="768" spans="5:9" x14ac:dyDescent="0.25">
      <c r="E768"/>
      <c r="F768" s="131"/>
      <c r="G768"/>
      <c r="H768"/>
      <c r="I768"/>
    </row>
    <row r="769" spans="5:9" x14ac:dyDescent="0.25">
      <c r="E769"/>
      <c r="F769" s="131"/>
      <c r="G769"/>
      <c r="H769"/>
      <c r="I769"/>
    </row>
    <row r="770" spans="5:9" x14ac:dyDescent="0.25">
      <c r="E770"/>
      <c r="F770" s="131"/>
      <c r="G770"/>
      <c r="H770"/>
      <c r="I770"/>
    </row>
    <row r="771" spans="5:9" x14ac:dyDescent="0.25">
      <c r="E771"/>
      <c r="F771" s="131"/>
      <c r="G771"/>
      <c r="H771"/>
      <c r="I771"/>
    </row>
    <row r="772" spans="5:9" x14ac:dyDescent="0.25">
      <c r="E772"/>
      <c r="F772" s="131"/>
      <c r="G772"/>
      <c r="H772"/>
      <c r="I772"/>
    </row>
    <row r="773" spans="5:9" x14ac:dyDescent="0.25">
      <c r="E773"/>
      <c r="F773" s="131"/>
      <c r="G773"/>
      <c r="H773"/>
      <c r="I773"/>
    </row>
    <row r="774" spans="5:9" x14ac:dyDescent="0.25">
      <c r="E774"/>
      <c r="F774" s="131"/>
      <c r="G774"/>
      <c r="H774"/>
      <c r="I774"/>
    </row>
    <row r="775" spans="5:9" x14ac:dyDescent="0.25">
      <c r="E775"/>
      <c r="F775" s="131"/>
      <c r="G775"/>
      <c r="H775"/>
      <c r="I775"/>
    </row>
    <row r="776" spans="5:9" x14ac:dyDescent="0.25">
      <c r="E776"/>
      <c r="F776" s="131"/>
      <c r="G776"/>
      <c r="H776"/>
      <c r="I776"/>
    </row>
    <row r="777" spans="5:9" x14ac:dyDescent="0.25">
      <c r="E777"/>
      <c r="F777" s="131"/>
      <c r="G777"/>
      <c r="H777"/>
      <c r="I777"/>
    </row>
    <row r="778" spans="5:9" x14ac:dyDescent="0.25">
      <c r="E778"/>
      <c r="F778" s="131"/>
      <c r="G778"/>
      <c r="H778"/>
      <c r="I778"/>
    </row>
    <row r="779" spans="5:9" x14ac:dyDescent="0.25">
      <c r="E779"/>
      <c r="F779" s="131"/>
      <c r="G779"/>
      <c r="H779"/>
      <c r="I779"/>
    </row>
    <row r="780" spans="5:9" x14ac:dyDescent="0.25">
      <c r="E780"/>
      <c r="F780" s="131"/>
      <c r="G780"/>
      <c r="H780"/>
      <c r="I780"/>
    </row>
    <row r="781" spans="5:9" x14ac:dyDescent="0.25">
      <c r="E781"/>
      <c r="F781" s="131"/>
      <c r="G781"/>
      <c r="H781"/>
      <c r="I781"/>
    </row>
    <row r="782" spans="5:9" x14ac:dyDescent="0.25">
      <c r="E782"/>
      <c r="F782" s="131"/>
      <c r="G782"/>
      <c r="H782"/>
      <c r="I782"/>
    </row>
    <row r="783" spans="5:9" x14ac:dyDescent="0.25">
      <c r="E783"/>
      <c r="F783" s="131"/>
      <c r="G783"/>
      <c r="H783"/>
      <c r="I783"/>
    </row>
    <row r="784" spans="5:9" x14ac:dyDescent="0.25">
      <c r="E784"/>
      <c r="F784" s="131"/>
      <c r="G784"/>
      <c r="H784"/>
      <c r="I784"/>
    </row>
    <row r="785" spans="5:9" x14ac:dyDescent="0.25">
      <c r="E785"/>
      <c r="F785" s="131"/>
      <c r="G785"/>
      <c r="H785"/>
      <c r="I785"/>
    </row>
    <row r="786" spans="5:9" x14ac:dyDescent="0.25">
      <c r="E786"/>
      <c r="F786" s="131"/>
      <c r="G786"/>
      <c r="H786"/>
      <c r="I786"/>
    </row>
    <row r="787" spans="5:9" x14ac:dyDescent="0.25">
      <c r="E787"/>
      <c r="F787" s="131"/>
      <c r="G787"/>
      <c r="H787"/>
      <c r="I787"/>
    </row>
    <row r="788" spans="5:9" x14ac:dyDescent="0.25">
      <c r="E788"/>
      <c r="F788" s="131"/>
      <c r="G788"/>
      <c r="H788"/>
      <c r="I788"/>
    </row>
    <row r="789" spans="5:9" x14ac:dyDescent="0.25">
      <c r="E789"/>
      <c r="F789" s="131"/>
      <c r="G789"/>
      <c r="H789"/>
      <c r="I789"/>
    </row>
    <row r="790" spans="5:9" x14ac:dyDescent="0.25">
      <c r="E790"/>
      <c r="F790" s="131"/>
      <c r="G790"/>
      <c r="H790"/>
      <c r="I790"/>
    </row>
    <row r="791" spans="5:9" x14ac:dyDescent="0.25">
      <c r="E791"/>
      <c r="F791" s="131"/>
      <c r="G791"/>
      <c r="H791"/>
      <c r="I791"/>
    </row>
    <row r="792" spans="5:9" x14ac:dyDescent="0.25">
      <c r="E792"/>
      <c r="F792" s="131"/>
      <c r="G792"/>
      <c r="H792"/>
      <c r="I792"/>
    </row>
    <row r="793" spans="5:9" x14ac:dyDescent="0.25">
      <c r="E793"/>
      <c r="F793" s="131"/>
      <c r="G793"/>
      <c r="H793"/>
      <c r="I793"/>
    </row>
    <row r="794" spans="5:9" x14ac:dyDescent="0.25">
      <c r="E794"/>
      <c r="F794" s="131"/>
      <c r="G794"/>
      <c r="H794"/>
      <c r="I794"/>
    </row>
    <row r="795" spans="5:9" x14ac:dyDescent="0.25">
      <c r="E795"/>
      <c r="F795" s="131"/>
      <c r="G795"/>
      <c r="H795"/>
      <c r="I795"/>
    </row>
    <row r="796" spans="5:9" x14ac:dyDescent="0.25">
      <c r="E796"/>
      <c r="F796" s="131"/>
      <c r="G796"/>
      <c r="H796"/>
      <c r="I796"/>
    </row>
    <row r="797" spans="5:9" x14ac:dyDescent="0.25">
      <c r="E797"/>
      <c r="F797" s="131"/>
      <c r="G797"/>
      <c r="H797"/>
      <c r="I797"/>
    </row>
    <row r="798" spans="5:9" x14ac:dyDescent="0.25">
      <c r="E798"/>
      <c r="F798" s="131"/>
      <c r="G798"/>
      <c r="H798"/>
      <c r="I798"/>
    </row>
    <row r="799" spans="5:9" x14ac:dyDescent="0.25">
      <c r="E799"/>
      <c r="F799" s="131"/>
      <c r="G799"/>
      <c r="H799"/>
      <c r="I799"/>
    </row>
    <row r="800" spans="5:9" x14ac:dyDescent="0.25">
      <c r="E800"/>
      <c r="F800" s="131"/>
      <c r="G800"/>
      <c r="H800"/>
      <c r="I800"/>
    </row>
    <row r="801" spans="5:9" x14ac:dyDescent="0.25">
      <c r="E801"/>
      <c r="F801" s="131"/>
      <c r="G801"/>
      <c r="H801"/>
      <c r="I801"/>
    </row>
    <row r="802" spans="5:9" x14ac:dyDescent="0.25">
      <c r="E802"/>
      <c r="F802" s="131"/>
      <c r="G802"/>
      <c r="H802"/>
      <c r="I802"/>
    </row>
    <row r="803" spans="5:9" x14ac:dyDescent="0.25">
      <c r="E803"/>
      <c r="F803" s="131"/>
      <c r="G803"/>
      <c r="H803"/>
      <c r="I803"/>
    </row>
    <row r="804" spans="5:9" x14ac:dyDescent="0.25">
      <c r="E804"/>
      <c r="F804" s="131"/>
      <c r="G804"/>
      <c r="H804"/>
      <c r="I804"/>
    </row>
    <row r="805" spans="5:9" x14ac:dyDescent="0.25">
      <c r="E805"/>
      <c r="F805" s="131"/>
      <c r="G805"/>
      <c r="H805"/>
      <c r="I805"/>
    </row>
    <row r="806" spans="5:9" x14ac:dyDescent="0.25">
      <c r="E806"/>
      <c r="F806" s="131"/>
      <c r="G806"/>
      <c r="H806"/>
      <c r="I806"/>
    </row>
    <row r="807" spans="5:9" x14ac:dyDescent="0.25">
      <c r="E807"/>
      <c r="F807" s="131"/>
      <c r="G807"/>
      <c r="H807"/>
      <c r="I807"/>
    </row>
    <row r="808" spans="5:9" x14ac:dyDescent="0.25">
      <c r="E808"/>
      <c r="F808" s="131"/>
      <c r="G808"/>
      <c r="H808"/>
      <c r="I808"/>
    </row>
    <row r="809" spans="5:9" x14ac:dyDescent="0.25">
      <c r="E809"/>
      <c r="F809" s="131"/>
      <c r="G809"/>
      <c r="H809"/>
      <c r="I809"/>
    </row>
    <row r="810" spans="5:9" x14ac:dyDescent="0.25">
      <c r="E810"/>
      <c r="F810" s="131"/>
      <c r="G810"/>
      <c r="H810"/>
      <c r="I810"/>
    </row>
    <row r="811" spans="5:9" x14ac:dyDescent="0.25">
      <c r="E811"/>
      <c r="F811" s="131"/>
      <c r="G811"/>
      <c r="H811"/>
      <c r="I811"/>
    </row>
    <row r="812" spans="5:9" x14ac:dyDescent="0.25">
      <c r="E812"/>
      <c r="F812" s="131"/>
      <c r="G812"/>
      <c r="H812"/>
      <c r="I812"/>
    </row>
    <row r="813" spans="5:9" x14ac:dyDescent="0.25">
      <c r="E813"/>
      <c r="F813" s="131"/>
      <c r="G813"/>
      <c r="H813"/>
      <c r="I813"/>
    </row>
    <row r="814" spans="5:9" x14ac:dyDescent="0.25">
      <c r="E814"/>
      <c r="F814" s="131"/>
      <c r="G814"/>
      <c r="H814"/>
      <c r="I814"/>
    </row>
    <row r="815" spans="5:9" x14ac:dyDescent="0.25">
      <c r="E815"/>
      <c r="F815" s="131"/>
      <c r="G815"/>
      <c r="H815"/>
      <c r="I815"/>
    </row>
    <row r="816" spans="5:9" x14ac:dyDescent="0.25">
      <c r="E816"/>
      <c r="F816" s="131"/>
      <c r="G816"/>
      <c r="H816"/>
      <c r="I816"/>
    </row>
    <row r="817" spans="5:9" x14ac:dyDescent="0.25">
      <c r="E817"/>
      <c r="F817" s="131"/>
      <c r="G817"/>
      <c r="H817"/>
      <c r="I817"/>
    </row>
    <row r="818" spans="5:9" x14ac:dyDescent="0.25">
      <c r="E818"/>
      <c r="F818" s="131"/>
      <c r="G818"/>
      <c r="H818"/>
      <c r="I818"/>
    </row>
    <row r="819" spans="5:9" x14ac:dyDescent="0.25">
      <c r="E819"/>
      <c r="F819" s="131"/>
      <c r="G819"/>
      <c r="H819"/>
      <c r="I819"/>
    </row>
    <row r="820" spans="5:9" x14ac:dyDescent="0.25">
      <c r="E820"/>
      <c r="F820" s="131"/>
      <c r="G820"/>
      <c r="H820"/>
      <c r="I820"/>
    </row>
    <row r="821" spans="5:9" x14ac:dyDescent="0.25">
      <c r="E821"/>
      <c r="F821" s="131"/>
      <c r="G821"/>
      <c r="H821"/>
      <c r="I821"/>
    </row>
    <row r="822" spans="5:9" x14ac:dyDescent="0.25">
      <c r="E822"/>
      <c r="F822" s="131"/>
      <c r="G822"/>
      <c r="H822"/>
      <c r="I822"/>
    </row>
    <row r="823" spans="5:9" x14ac:dyDescent="0.25">
      <c r="E823"/>
      <c r="F823" s="131"/>
      <c r="G823"/>
      <c r="H823"/>
      <c r="I823"/>
    </row>
    <row r="824" spans="5:9" x14ac:dyDescent="0.25">
      <c r="E824"/>
      <c r="F824" s="131"/>
      <c r="G824"/>
      <c r="H824"/>
      <c r="I824"/>
    </row>
    <row r="825" spans="5:9" x14ac:dyDescent="0.25">
      <c r="E825"/>
      <c r="F825" s="131"/>
      <c r="G825"/>
      <c r="H825"/>
      <c r="I825"/>
    </row>
    <row r="826" spans="5:9" x14ac:dyDescent="0.25">
      <c r="E826"/>
      <c r="F826" s="131"/>
      <c r="G826"/>
      <c r="H826"/>
      <c r="I826"/>
    </row>
    <row r="827" spans="5:9" x14ac:dyDescent="0.25">
      <c r="E827"/>
      <c r="F827" s="131"/>
      <c r="G827"/>
      <c r="H827"/>
      <c r="I827"/>
    </row>
    <row r="828" spans="5:9" x14ac:dyDescent="0.25">
      <c r="E828"/>
      <c r="F828" s="131"/>
      <c r="G828"/>
      <c r="H828"/>
      <c r="I828"/>
    </row>
    <row r="829" spans="5:9" x14ac:dyDescent="0.25">
      <c r="E829"/>
      <c r="F829" s="131"/>
      <c r="G829"/>
      <c r="H829"/>
      <c r="I829"/>
    </row>
    <row r="830" spans="5:9" x14ac:dyDescent="0.25">
      <c r="E830"/>
      <c r="F830" s="131"/>
      <c r="G830"/>
      <c r="H830"/>
      <c r="I830"/>
    </row>
    <row r="831" spans="5:9" x14ac:dyDescent="0.25">
      <c r="E831"/>
      <c r="F831" s="131"/>
      <c r="G831"/>
      <c r="H831"/>
      <c r="I831"/>
    </row>
    <row r="832" spans="5:9" x14ac:dyDescent="0.25">
      <c r="E832"/>
      <c r="F832" s="131"/>
      <c r="G832"/>
      <c r="H832"/>
      <c r="I832"/>
    </row>
    <row r="833" spans="5:9" x14ac:dyDescent="0.25">
      <c r="E833"/>
      <c r="F833" s="131"/>
      <c r="G833"/>
      <c r="H833"/>
      <c r="I833"/>
    </row>
    <row r="834" spans="5:9" x14ac:dyDescent="0.25">
      <c r="E834"/>
      <c r="F834" s="131"/>
      <c r="G834"/>
      <c r="H834"/>
      <c r="I834"/>
    </row>
    <row r="835" spans="5:9" x14ac:dyDescent="0.25">
      <c r="E835"/>
      <c r="F835" s="131"/>
      <c r="G835"/>
      <c r="H835"/>
      <c r="I835"/>
    </row>
    <row r="836" spans="5:9" x14ac:dyDescent="0.25">
      <c r="E836"/>
      <c r="F836" s="131"/>
      <c r="G836"/>
      <c r="H836"/>
      <c r="I836"/>
    </row>
    <row r="837" spans="5:9" x14ac:dyDescent="0.25">
      <c r="E837"/>
      <c r="F837" s="131"/>
      <c r="G837"/>
      <c r="H837"/>
      <c r="I837"/>
    </row>
    <row r="838" spans="5:9" x14ac:dyDescent="0.25">
      <c r="E838"/>
      <c r="F838" s="131"/>
      <c r="G838"/>
      <c r="H838"/>
      <c r="I838"/>
    </row>
    <row r="839" spans="5:9" x14ac:dyDescent="0.25">
      <c r="E839"/>
      <c r="F839" s="131"/>
      <c r="G839"/>
      <c r="H839"/>
      <c r="I839"/>
    </row>
    <row r="840" spans="5:9" x14ac:dyDescent="0.25">
      <c r="E840"/>
      <c r="F840" s="131"/>
      <c r="G840"/>
      <c r="H840"/>
      <c r="I840"/>
    </row>
    <row r="841" spans="5:9" x14ac:dyDescent="0.25">
      <c r="E841"/>
      <c r="F841" s="131"/>
      <c r="G841"/>
      <c r="H841"/>
      <c r="I841"/>
    </row>
    <row r="842" spans="5:9" x14ac:dyDescent="0.25">
      <c r="E842"/>
      <c r="F842" s="131"/>
      <c r="G842"/>
      <c r="H842"/>
      <c r="I842"/>
    </row>
    <row r="843" spans="5:9" x14ac:dyDescent="0.25">
      <c r="E843"/>
      <c r="F843" s="131"/>
      <c r="G843"/>
      <c r="H843"/>
      <c r="I843"/>
    </row>
    <row r="844" spans="5:9" x14ac:dyDescent="0.25">
      <c r="E844"/>
      <c r="F844" s="131"/>
      <c r="G844"/>
      <c r="H844"/>
      <c r="I844"/>
    </row>
    <row r="845" spans="5:9" x14ac:dyDescent="0.25">
      <c r="E845"/>
      <c r="F845" s="131"/>
      <c r="G845"/>
      <c r="H845"/>
      <c r="I845"/>
    </row>
    <row r="846" spans="5:9" x14ac:dyDescent="0.25">
      <c r="E846"/>
      <c r="F846" s="131"/>
      <c r="G846"/>
      <c r="H846"/>
      <c r="I846"/>
    </row>
    <row r="847" spans="5:9" x14ac:dyDescent="0.25">
      <c r="E847"/>
      <c r="F847" s="131"/>
      <c r="G847"/>
      <c r="H847"/>
      <c r="I847"/>
    </row>
    <row r="848" spans="5:9" x14ac:dyDescent="0.25">
      <c r="E848"/>
      <c r="F848" s="131"/>
      <c r="G848"/>
      <c r="H848"/>
      <c r="I848"/>
    </row>
    <row r="849" spans="5:9" x14ac:dyDescent="0.25">
      <c r="E849"/>
      <c r="F849" s="131"/>
      <c r="G849"/>
      <c r="H849"/>
      <c r="I849"/>
    </row>
    <row r="850" spans="5:9" x14ac:dyDescent="0.25">
      <c r="E850"/>
      <c r="F850" s="131"/>
      <c r="G850"/>
      <c r="H850"/>
      <c r="I850"/>
    </row>
    <row r="851" spans="5:9" x14ac:dyDescent="0.25">
      <c r="E851"/>
      <c r="F851" s="131"/>
      <c r="G851"/>
      <c r="H851"/>
      <c r="I851"/>
    </row>
    <row r="852" spans="5:9" x14ac:dyDescent="0.25">
      <c r="E852"/>
      <c r="F852" s="131"/>
      <c r="G852"/>
      <c r="H852"/>
      <c r="I852"/>
    </row>
    <row r="853" spans="5:9" x14ac:dyDescent="0.25">
      <c r="E853"/>
      <c r="F853" s="131"/>
      <c r="G853"/>
      <c r="H853"/>
      <c r="I853"/>
    </row>
    <row r="854" spans="5:9" x14ac:dyDescent="0.25">
      <c r="E854"/>
      <c r="F854" s="131"/>
      <c r="G854"/>
      <c r="H854"/>
      <c r="I854"/>
    </row>
    <row r="855" spans="5:9" x14ac:dyDescent="0.25">
      <c r="E855"/>
      <c r="F855" s="131"/>
      <c r="G855"/>
      <c r="H855"/>
      <c r="I855"/>
    </row>
    <row r="856" spans="5:9" x14ac:dyDescent="0.25">
      <c r="E856"/>
      <c r="F856" s="131"/>
      <c r="G856"/>
      <c r="H856"/>
      <c r="I856"/>
    </row>
    <row r="857" spans="5:9" x14ac:dyDescent="0.25">
      <c r="E857"/>
      <c r="F857" s="131"/>
      <c r="G857"/>
      <c r="H857"/>
      <c r="I857"/>
    </row>
    <row r="858" spans="5:9" x14ac:dyDescent="0.25">
      <c r="E858"/>
      <c r="F858" s="131"/>
      <c r="G858"/>
      <c r="H858"/>
      <c r="I858"/>
    </row>
    <row r="859" spans="5:9" x14ac:dyDescent="0.25">
      <c r="E859"/>
      <c r="F859" s="131"/>
      <c r="G859"/>
      <c r="H859"/>
      <c r="I859"/>
    </row>
    <row r="860" spans="5:9" x14ac:dyDescent="0.25">
      <c r="E860"/>
      <c r="F860" s="131"/>
      <c r="G860"/>
      <c r="H860"/>
      <c r="I860"/>
    </row>
    <row r="861" spans="5:9" x14ac:dyDescent="0.25">
      <c r="E861"/>
      <c r="F861" s="131"/>
      <c r="G861"/>
      <c r="H861"/>
      <c r="I861"/>
    </row>
    <row r="862" spans="5:9" x14ac:dyDescent="0.25">
      <c r="E862"/>
      <c r="F862" s="131"/>
      <c r="G862"/>
      <c r="H862"/>
      <c r="I862"/>
    </row>
    <row r="863" spans="5:9" x14ac:dyDescent="0.25">
      <c r="E863"/>
      <c r="F863" s="131"/>
      <c r="G863"/>
      <c r="H863"/>
      <c r="I863"/>
    </row>
    <row r="864" spans="5:9" x14ac:dyDescent="0.25">
      <c r="E864"/>
      <c r="F864" s="131"/>
      <c r="G864"/>
      <c r="H864"/>
      <c r="I864"/>
    </row>
    <row r="865" spans="5:9" x14ac:dyDescent="0.25">
      <c r="E865"/>
      <c r="F865" s="131"/>
      <c r="G865"/>
      <c r="H865"/>
      <c r="I865"/>
    </row>
    <row r="866" spans="5:9" x14ac:dyDescent="0.25">
      <c r="E866"/>
      <c r="F866" s="131"/>
      <c r="G866"/>
      <c r="H866"/>
      <c r="I866"/>
    </row>
    <row r="867" spans="5:9" x14ac:dyDescent="0.25">
      <c r="E867"/>
      <c r="F867" s="131"/>
      <c r="G867"/>
      <c r="H867"/>
      <c r="I867"/>
    </row>
    <row r="868" spans="5:9" x14ac:dyDescent="0.25">
      <c r="E868"/>
      <c r="F868" s="131"/>
      <c r="G868"/>
      <c r="H868"/>
      <c r="I868"/>
    </row>
    <row r="869" spans="5:9" x14ac:dyDescent="0.25">
      <c r="E869"/>
      <c r="F869" s="131"/>
      <c r="G869"/>
      <c r="H869"/>
      <c r="I869"/>
    </row>
    <row r="870" spans="5:9" x14ac:dyDescent="0.25">
      <c r="E870"/>
      <c r="F870" s="131"/>
      <c r="G870"/>
      <c r="H870"/>
      <c r="I870"/>
    </row>
    <row r="871" spans="5:9" x14ac:dyDescent="0.25">
      <c r="E871"/>
      <c r="F871" s="131"/>
      <c r="G871"/>
      <c r="H871"/>
      <c r="I871"/>
    </row>
    <row r="872" spans="5:9" x14ac:dyDescent="0.25">
      <c r="E872"/>
      <c r="F872" s="131"/>
      <c r="G872"/>
      <c r="H872"/>
      <c r="I872"/>
    </row>
    <row r="873" spans="5:9" x14ac:dyDescent="0.25">
      <c r="E873"/>
      <c r="F873" s="131"/>
      <c r="G873"/>
      <c r="H873"/>
      <c r="I873"/>
    </row>
    <row r="874" spans="5:9" x14ac:dyDescent="0.25">
      <c r="E874"/>
      <c r="F874" s="131"/>
      <c r="G874"/>
      <c r="H874"/>
      <c r="I874"/>
    </row>
    <row r="875" spans="5:9" x14ac:dyDescent="0.25">
      <c r="E875"/>
      <c r="F875" s="131"/>
      <c r="G875"/>
      <c r="H875"/>
      <c r="I875"/>
    </row>
    <row r="876" spans="5:9" x14ac:dyDescent="0.25">
      <c r="E876"/>
      <c r="F876" s="131"/>
      <c r="G876"/>
      <c r="H876"/>
      <c r="I876"/>
    </row>
    <row r="877" spans="5:9" x14ac:dyDescent="0.25">
      <c r="E877"/>
      <c r="F877" s="131"/>
      <c r="G877"/>
      <c r="H877"/>
      <c r="I877"/>
    </row>
    <row r="878" spans="5:9" x14ac:dyDescent="0.25">
      <c r="E878"/>
      <c r="F878" s="131"/>
      <c r="G878"/>
      <c r="H878"/>
      <c r="I878"/>
    </row>
    <row r="879" spans="5:9" x14ac:dyDescent="0.25">
      <c r="E879"/>
      <c r="F879" s="131"/>
      <c r="G879"/>
      <c r="H879"/>
      <c r="I879"/>
    </row>
    <row r="880" spans="5:9" x14ac:dyDescent="0.25">
      <c r="E880"/>
      <c r="F880" s="131"/>
      <c r="G880"/>
      <c r="H880"/>
      <c r="I880"/>
    </row>
    <row r="881" spans="5:9" x14ac:dyDescent="0.25">
      <c r="E881"/>
      <c r="F881" s="131"/>
      <c r="G881"/>
      <c r="H881"/>
      <c r="I881"/>
    </row>
    <row r="882" spans="5:9" x14ac:dyDescent="0.25">
      <c r="E882"/>
      <c r="F882" s="131"/>
      <c r="G882"/>
      <c r="H882"/>
      <c r="I882"/>
    </row>
    <row r="883" spans="5:9" x14ac:dyDescent="0.25">
      <c r="E883"/>
      <c r="F883" s="131"/>
      <c r="G883"/>
      <c r="H883"/>
      <c r="I883"/>
    </row>
    <row r="884" spans="5:9" x14ac:dyDescent="0.25">
      <c r="E884"/>
      <c r="F884" s="131"/>
      <c r="G884"/>
      <c r="H884"/>
      <c r="I884"/>
    </row>
    <row r="885" spans="5:9" x14ac:dyDescent="0.25">
      <c r="E885"/>
      <c r="F885" s="131"/>
      <c r="G885"/>
      <c r="H885"/>
      <c r="I885"/>
    </row>
    <row r="886" spans="5:9" x14ac:dyDescent="0.25">
      <c r="E886"/>
      <c r="F886" s="131"/>
      <c r="G886"/>
      <c r="H886"/>
      <c r="I886"/>
    </row>
    <row r="887" spans="5:9" x14ac:dyDescent="0.25">
      <c r="E887"/>
      <c r="F887" s="131"/>
      <c r="G887"/>
      <c r="H887"/>
      <c r="I887"/>
    </row>
    <row r="888" spans="5:9" x14ac:dyDescent="0.25">
      <c r="E888"/>
      <c r="F888" s="131"/>
      <c r="G888"/>
      <c r="H888"/>
      <c r="I888"/>
    </row>
    <row r="889" spans="5:9" x14ac:dyDescent="0.25">
      <c r="E889"/>
      <c r="F889" s="131"/>
      <c r="G889"/>
      <c r="H889"/>
      <c r="I889"/>
    </row>
    <row r="890" spans="5:9" x14ac:dyDescent="0.25">
      <c r="E890"/>
      <c r="F890" s="131"/>
      <c r="G890"/>
      <c r="H890"/>
      <c r="I890"/>
    </row>
    <row r="891" spans="5:9" x14ac:dyDescent="0.25">
      <c r="E891"/>
      <c r="F891" s="131"/>
      <c r="G891"/>
      <c r="H891"/>
      <c r="I891"/>
    </row>
    <row r="892" spans="5:9" x14ac:dyDescent="0.25">
      <c r="E892"/>
      <c r="F892" s="131"/>
      <c r="G892"/>
      <c r="H892"/>
      <c r="I892"/>
    </row>
    <row r="893" spans="5:9" x14ac:dyDescent="0.25">
      <c r="E893"/>
      <c r="F893" s="131"/>
      <c r="G893"/>
      <c r="H893"/>
      <c r="I893"/>
    </row>
    <row r="894" spans="5:9" x14ac:dyDescent="0.25">
      <c r="E894"/>
      <c r="F894" s="131"/>
      <c r="G894"/>
      <c r="H894"/>
      <c r="I894"/>
    </row>
    <row r="895" spans="5:9" x14ac:dyDescent="0.25">
      <c r="E895"/>
      <c r="F895" s="131"/>
      <c r="G895"/>
      <c r="H895"/>
      <c r="I895"/>
    </row>
    <row r="896" spans="5:9" x14ac:dyDescent="0.25">
      <c r="E896"/>
      <c r="F896" s="131"/>
      <c r="G896"/>
      <c r="H896"/>
      <c r="I896"/>
    </row>
    <row r="897" spans="5:9" x14ac:dyDescent="0.25">
      <c r="E897"/>
      <c r="F897" s="131"/>
      <c r="G897"/>
      <c r="H897"/>
      <c r="I897"/>
    </row>
    <row r="898" spans="5:9" x14ac:dyDescent="0.25">
      <c r="E898"/>
      <c r="F898" s="131"/>
      <c r="G898"/>
      <c r="H898"/>
      <c r="I898"/>
    </row>
    <row r="899" spans="5:9" x14ac:dyDescent="0.25">
      <c r="E899"/>
      <c r="F899" s="131"/>
      <c r="G899"/>
      <c r="H899"/>
      <c r="I899"/>
    </row>
    <row r="900" spans="5:9" x14ac:dyDescent="0.25">
      <c r="E900"/>
      <c r="F900" s="131"/>
      <c r="G900"/>
      <c r="H900"/>
      <c r="I900"/>
    </row>
    <row r="901" spans="5:9" x14ac:dyDescent="0.25">
      <c r="E901"/>
      <c r="F901" s="131"/>
      <c r="G901"/>
      <c r="H901"/>
      <c r="I901"/>
    </row>
    <row r="902" spans="5:9" x14ac:dyDescent="0.25">
      <c r="E902"/>
      <c r="F902" s="131"/>
      <c r="G902"/>
      <c r="H902"/>
      <c r="I902"/>
    </row>
    <row r="903" spans="5:9" x14ac:dyDescent="0.25">
      <c r="E903"/>
      <c r="F903" s="131"/>
      <c r="G903"/>
      <c r="H903"/>
      <c r="I903"/>
    </row>
    <row r="904" spans="5:9" x14ac:dyDescent="0.25">
      <c r="E904"/>
      <c r="F904" s="131"/>
      <c r="G904"/>
      <c r="H904"/>
      <c r="I904"/>
    </row>
    <row r="905" spans="5:9" x14ac:dyDescent="0.25">
      <c r="E905"/>
      <c r="F905" s="131"/>
      <c r="G905"/>
      <c r="H905"/>
      <c r="I905"/>
    </row>
    <row r="906" spans="5:9" x14ac:dyDescent="0.25">
      <c r="E906"/>
      <c r="F906" s="131"/>
      <c r="G906"/>
      <c r="H906"/>
      <c r="I906"/>
    </row>
    <row r="907" spans="5:9" x14ac:dyDescent="0.25">
      <c r="E907"/>
      <c r="F907" s="131"/>
      <c r="G907"/>
      <c r="H907"/>
      <c r="I907"/>
    </row>
    <row r="908" spans="5:9" x14ac:dyDescent="0.25">
      <c r="E908"/>
      <c r="F908" s="131"/>
      <c r="G908"/>
      <c r="H908"/>
      <c r="I908"/>
    </row>
    <row r="909" spans="5:9" x14ac:dyDescent="0.25">
      <c r="E909"/>
      <c r="F909" s="131"/>
      <c r="G909"/>
      <c r="H909"/>
      <c r="I909"/>
    </row>
    <row r="910" spans="5:9" x14ac:dyDescent="0.25">
      <c r="E910"/>
      <c r="F910" s="131"/>
      <c r="G910"/>
      <c r="H910"/>
      <c r="I910"/>
    </row>
    <row r="911" spans="5:9" x14ac:dyDescent="0.25">
      <c r="E911"/>
      <c r="F911" s="131"/>
      <c r="G911"/>
      <c r="H911"/>
      <c r="I911"/>
    </row>
    <row r="912" spans="5:9" x14ac:dyDescent="0.25">
      <c r="E912"/>
      <c r="F912" s="131"/>
      <c r="G912"/>
      <c r="H912"/>
      <c r="I912"/>
    </row>
    <row r="913" spans="5:9" x14ac:dyDescent="0.25">
      <c r="E913"/>
      <c r="F913" s="131"/>
      <c r="G913"/>
      <c r="H913"/>
      <c r="I913"/>
    </row>
    <row r="914" spans="5:9" x14ac:dyDescent="0.25">
      <c r="E914"/>
      <c r="F914" s="131"/>
      <c r="G914"/>
      <c r="H914"/>
      <c r="I914"/>
    </row>
    <row r="915" spans="5:9" x14ac:dyDescent="0.25">
      <c r="E915"/>
      <c r="F915" s="131"/>
      <c r="G915"/>
      <c r="H915"/>
      <c r="I915"/>
    </row>
    <row r="916" spans="5:9" x14ac:dyDescent="0.25">
      <c r="E916"/>
      <c r="F916" s="131"/>
      <c r="G916"/>
      <c r="H916"/>
      <c r="I916"/>
    </row>
    <row r="917" spans="5:9" x14ac:dyDescent="0.25">
      <c r="E917"/>
      <c r="F917" s="131"/>
      <c r="G917"/>
      <c r="H917"/>
      <c r="I917"/>
    </row>
    <row r="918" spans="5:9" x14ac:dyDescent="0.25">
      <c r="E918"/>
      <c r="F918" s="131"/>
      <c r="G918"/>
      <c r="H918"/>
      <c r="I918"/>
    </row>
    <row r="919" spans="5:9" x14ac:dyDescent="0.25">
      <c r="E919"/>
      <c r="F919" s="131"/>
      <c r="G919"/>
      <c r="H919"/>
      <c r="I919"/>
    </row>
    <row r="920" spans="5:9" x14ac:dyDescent="0.25">
      <c r="E920"/>
      <c r="F920" s="131"/>
      <c r="G920"/>
      <c r="H920"/>
      <c r="I920"/>
    </row>
    <row r="921" spans="5:9" x14ac:dyDescent="0.25">
      <c r="E921"/>
      <c r="F921" s="131"/>
      <c r="G921"/>
      <c r="H921"/>
      <c r="I921"/>
    </row>
    <row r="922" spans="5:9" x14ac:dyDescent="0.25">
      <c r="E922"/>
      <c r="F922" s="131"/>
      <c r="G922"/>
      <c r="H922"/>
      <c r="I922"/>
    </row>
    <row r="923" spans="5:9" x14ac:dyDescent="0.25">
      <c r="E923"/>
      <c r="F923" s="131"/>
      <c r="G923"/>
      <c r="H923"/>
      <c r="I923"/>
    </row>
    <row r="924" spans="5:9" x14ac:dyDescent="0.25">
      <c r="E924"/>
      <c r="F924" s="131"/>
      <c r="G924"/>
      <c r="H924"/>
      <c r="I924"/>
    </row>
    <row r="925" spans="5:9" x14ac:dyDescent="0.25">
      <c r="E925"/>
      <c r="F925" s="131"/>
      <c r="G925"/>
      <c r="H925"/>
      <c r="I925"/>
    </row>
    <row r="926" spans="5:9" x14ac:dyDescent="0.25">
      <c r="E926"/>
      <c r="F926" s="131"/>
      <c r="G926"/>
      <c r="H926"/>
      <c r="I926"/>
    </row>
    <row r="927" spans="5:9" x14ac:dyDescent="0.25">
      <c r="E927"/>
      <c r="F927" s="131"/>
      <c r="G927"/>
      <c r="H927"/>
      <c r="I927"/>
    </row>
    <row r="928" spans="5:9" x14ac:dyDescent="0.25">
      <c r="E928"/>
      <c r="F928" s="131"/>
      <c r="G928"/>
      <c r="H928"/>
      <c r="I928"/>
    </row>
    <row r="929" spans="5:9" x14ac:dyDescent="0.25">
      <c r="E929"/>
      <c r="F929" s="131"/>
      <c r="G929"/>
      <c r="H929"/>
      <c r="I929"/>
    </row>
    <row r="930" spans="5:9" x14ac:dyDescent="0.25">
      <c r="E930"/>
      <c r="F930" s="131"/>
      <c r="G930"/>
      <c r="H930"/>
      <c r="I930"/>
    </row>
    <row r="931" spans="5:9" x14ac:dyDescent="0.25">
      <c r="E931"/>
      <c r="F931" s="131"/>
      <c r="G931"/>
      <c r="H931"/>
      <c r="I931"/>
    </row>
    <row r="932" spans="5:9" x14ac:dyDescent="0.25">
      <c r="E932"/>
      <c r="F932" s="131"/>
      <c r="G932"/>
      <c r="H932"/>
      <c r="I932"/>
    </row>
    <row r="933" spans="5:9" x14ac:dyDescent="0.25">
      <c r="E933"/>
      <c r="F933" s="131"/>
      <c r="G933"/>
      <c r="H933"/>
      <c r="I933"/>
    </row>
    <row r="934" spans="5:9" x14ac:dyDescent="0.25">
      <c r="E934"/>
      <c r="F934" s="131"/>
      <c r="G934"/>
      <c r="H934"/>
      <c r="I934"/>
    </row>
    <row r="935" spans="5:9" x14ac:dyDescent="0.25">
      <c r="E935"/>
      <c r="F935" s="131"/>
      <c r="G935"/>
      <c r="H935"/>
      <c r="I935"/>
    </row>
    <row r="936" spans="5:9" x14ac:dyDescent="0.25">
      <c r="E936"/>
      <c r="F936" s="131"/>
      <c r="G936"/>
      <c r="H936"/>
      <c r="I936"/>
    </row>
    <row r="937" spans="5:9" x14ac:dyDescent="0.25">
      <c r="E937"/>
      <c r="F937" s="131"/>
      <c r="G937"/>
      <c r="H937"/>
      <c r="I937"/>
    </row>
    <row r="938" spans="5:9" x14ac:dyDescent="0.25">
      <c r="E938"/>
      <c r="F938" s="131"/>
      <c r="G938"/>
      <c r="H938"/>
      <c r="I938"/>
    </row>
    <row r="939" spans="5:9" x14ac:dyDescent="0.25">
      <c r="E939"/>
      <c r="F939" s="131"/>
      <c r="G939"/>
      <c r="H939"/>
      <c r="I939"/>
    </row>
    <row r="940" spans="5:9" x14ac:dyDescent="0.25">
      <c r="E940"/>
      <c r="F940" s="131"/>
      <c r="G940"/>
      <c r="H940"/>
      <c r="I940"/>
    </row>
    <row r="941" spans="5:9" x14ac:dyDescent="0.25">
      <c r="E941"/>
      <c r="F941" s="131"/>
      <c r="G941"/>
      <c r="H941"/>
      <c r="I941"/>
    </row>
    <row r="942" spans="5:9" x14ac:dyDescent="0.25">
      <c r="E942"/>
      <c r="F942" s="131"/>
      <c r="G942"/>
      <c r="H942"/>
      <c r="I942"/>
    </row>
    <row r="943" spans="5:9" x14ac:dyDescent="0.25">
      <c r="E943"/>
      <c r="F943" s="131"/>
      <c r="G943"/>
      <c r="H943"/>
      <c r="I943"/>
    </row>
    <row r="944" spans="5:9" x14ac:dyDescent="0.25">
      <c r="E944"/>
      <c r="F944" s="131"/>
      <c r="G944"/>
      <c r="H944"/>
      <c r="I944"/>
    </row>
    <row r="945" spans="5:9" x14ac:dyDescent="0.25">
      <c r="E945"/>
      <c r="F945" s="131"/>
      <c r="G945"/>
      <c r="H945"/>
      <c r="I945"/>
    </row>
    <row r="946" spans="5:9" x14ac:dyDescent="0.25">
      <c r="E946"/>
      <c r="F946" s="131"/>
      <c r="G946"/>
      <c r="H946"/>
      <c r="I946"/>
    </row>
    <row r="947" spans="5:9" x14ac:dyDescent="0.25">
      <c r="E947"/>
      <c r="F947" s="131"/>
      <c r="G947"/>
      <c r="H947"/>
      <c r="I947"/>
    </row>
    <row r="948" spans="5:9" x14ac:dyDescent="0.25">
      <c r="E948"/>
      <c r="F948" s="131"/>
      <c r="G948"/>
      <c r="H948"/>
      <c r="I948"/>
    </row>
    <row r="949" spans="5:9" x14ac:dyDescent="0.25">
      <c r="E949"/>
      <c r="F949" s="131"/>
      <c r="G949"/>
      <c r="H949"/>
      <c r="I949"/>
    </row>
    <row r="950" spans="5:9" x14ac:dyDescent="0.25">
      <c r="E950"/>
      <c r="F950" s="131"/>
      <c r="G950"/>
      <c r="H950"/>
      <c r="I950"/>
    </row>
    <row r="951" spans="5:9" x14ac:dyDescent="0.25">
      <c r="E951"/>
      <c r="F951" s="131"/>
      <c r="G951"/>
      <c r="H951"/>
      <c r="I951"/>
    </row>
    <row r="952" spans="5:9" x14ac:dyDescent="0.25">
      <c r="E952"/>
      <c r="F952" s="131"/>
      <c r="G952"/>
      <c r="H952"/>
      <c r="I952"/>
    </row>
    <row r="953" spans="5:9" x14ac:dyDescent="0.25">
      <c r="E953"/>
      <c r="F953" s="131"/>
      <c r="G953"/>
      <c r="H953"/>
      <c r="I953"/>
    </row>
    <row r="954" spans="5:9" x14ac:dyDescent="0.25">
      <c r="E954"/>
      <c r="F954" s="131"/>
      <c r="G954"/>
      <c r="H954"/>
      <c r="I954"/>
    </row>
    <row r="955" spans="5:9" x14ac:dyDescent="0.25">
      <c r="E955"/>
      <c r="F955" s="131"/>
      <c r="G955"/>
      <c r="H955"/>
      <c r="I955"/>
    </row>
    <row r="956" spans="5:9" x14ac:dyDescent="0.25">
      <c r="E956"/>
      <c r="F956" s="131"/>
      <c r="G956"/>
      <c r="H956"/>
      <c r="I956"/>
    </row>
    <row r="957" spans="5:9" x14ac:dyDescent="0.25">
      <c r="E957"/>
      <c r="F957" s="131"/>
      <c r="G957"/>
      <c r="H957"/>
      <c r="I957"/>
    </row>
    <row r="958" spans="5:9" x14ac:dyDescent="0.25">
      <c r="E958"/>
      <c r="F958" s="131"/>
      <c r="G958"/>
      <c r="H958"/>
      <c r="I958"/>
    </row>
    <row r="959" spans="5:9" x14ac:dyDescent="0.25">
      <c r="E959"/>
      <c r="F959" s="131"/>
      <c r="G959"/>
      <c r="H959"/>
      <c r="I959"/>
    </row>
    <row r="960" spans="5:9" x14ac:dyDescent="0.25">
      <c r="E960"/>
      <c r="F960" s="131"/>
      <c r="G960"/>
      <c r="H960"/>
      <c r="I960"/>
    </row>
    <row r="961" spans="5:9" x14ac:dyDescent="0.25">
      <c r="E961"/>
      <c r="F961" s="131"/>
      <c r="G961"/>
      <c r="H961"/>
      <c r="I961"/>
    </row>
    <row r="962" spans="5:9" x14ac:dyDescent="0.25">
      <c r="E962"/>
      <c r="F962" s="131"/>
      <c r="G962"/>
      <c r="H962"/>
      <c r="I962"/>
    </row>
    <row r="963" spans="5:9" x14ac:dyDescent="0.25">
      <c r="E963"/>
      <c r="F963" s="131"/>
      <c r="G963"/>
      <c r="H963"/>
      <c r="I963"/>
    </row>
    <row r="964" spans="5:9" x14ac:dyDescent="0.25">
      <c r="E964"/>
      <c r="F964" s="131"/>
      <c r="G964"/>
      <c r="H964"/>
      <c r="I964"/>
    </row>
    <row r="965" spans="5:9" x14ac:dyDescent="0.25">
      <c r="E965"/>
      <c r="F965" s="131"/>
      <c r="G965"/>
      <c r="H965"/>
      <c r="I965"/>
    </row>
    <row r="966" spans="5:9" x14ac:dyDescent="0.25">
      <c r="E966"/>
      <c r="F966" s="131"/>
      <c r="G966"/>
      <c r="H966"/>
      <c r="I966"/>
    </row>
    <row r="967" spans="5:9" x14ac:dyDescent="0.25">
      <c r="E967"/>
      <c r="F967" s="131"/>
      <c r="G967"/>
      <c r="H967"/>
      <c r="I967"/>
    </row>
    <row r="968" spans="5:9" x14ac:dyDescent="0.25">
      <c r="E968"/>
      <c r="F968" s="131"/>
      <c r="G968"/>
      <c r="H968"/>
      <c r="I968"/>
    </row>
    <row r="969" spans="5:9" x14ac:dyDescent="0.25">
      <c r="E969"/>
      <c r="F969" s="131"/>
      <c r="G969"/>
      <c r="H969"/>
      <c r="I969"/>
    </row>
    <row r="970" spans="5:9" x14ac:dyDescent="0.25">
      <c r="E970"/>
      <c r="F970" s="131"/>
      <c r="G970"/>
      <c r="H970"/>
      <c r="I970"/>
    </row>
    <row r="971" spans="5:9" x14ac:dyDescent="0.25">
      <c r="E971"/>
      <c r="F971" s="131"/>
      <c r="G971"/>
      <c r="H971"/>
      <c r="I971"/>
    </row>
    <row r="972" spans="5:9" x14ac:dyDescent="0.25">
      <c r="E972"/>
      <c r="F972" s="131"/>
      <c r="G972"/>
      <c r="H972"/>
      <c r="I972"/>
    </row>
    <row r="973" spans="5:9" x14ac:dyDescent="0.25">
      <c r="E973"/>
      <c r="F973" s="131"/>
      <c r="G973"/>
      <c r="H973"/>
      <c r="I973"/>
    </row>
    <row r="974" spans="5:9" x14ac:dyDescent="0.25">
      <c r="E974"/>
      <c r="F974" s="131"/>
      <c r="G974"/>
      <c r="H974"/>
      <c r="I974"/>
    </row>
    <row r="975" spans="5:9" x14ac:dyDescent="0.25">
      <c r="E975"/>
      <c r="F975" s="131"/>
      <c r="G975"/>
      <c r="H975"/>
      <c r="I975"/>
    </row>
    <row r="976" spans="5:9" x14ac:dyDescent="0.25">
      <c r="E976"/>
      <c r="F976" s="131"/>
      <c r="G976"/>
      <c r="H976"/>
      <c r="I976"/>
    </row>
    <row r="977" spans="5:9" x14ac:dyDescent="0.25">
      <c r="E977"/>
      <c r="F977" s="131"/>
      <c r="G977"/>
      <c r="H977"/>
      <c r="I977"/>
    </row>
    <row r="978" spans="5:9" x14ac:dyDescent="0.25">
      <c r="E978"/>
      <c r="F978" s="131"/>
      <c r="G978"/>
      <c r="H978"/>
      <c r="I978"/>
    </row>
    <row r="979" spans="5:9" x14ac:dyDescent="0.25">
      <c r="E979"/>
      <c r="F979" s="131"/>
      <c r="G979"/>
      <c r="H979"/>
      <c r="I979"/>
    </row>
    <row r="980" spans="5:9" x14ac:dyDescent="0.25">
      <c r="E980"/>
      <c r="F980" s="131"/>
      <c r="G980"/>
      <c r="H980"/>
      <c r="I980"/>
    </row>
    <row r="981" spans="5:9" x14ac:dyDescent="0.25">
      <c r="E981"/>
      <c r="F981" s="131"/>
      <c r="G981"/>
      <c r="H981"/>
      <c r="I981"/>
    </row>
    <row r="982" spans="5:9" x14ac:dyDescent="0.25">
      <c r="E982"/>
      <c r="F982" s="131"/>
      <c r="G982"/>
      <c r="H982"/>
      <c r="I982"/>
    </row>
    <row r="983" spans="5:9" x14ac:dyDescent="0.25">
      <c r="E983"/>
      <c r="F983" s="131"/>
      <c r="G983"/>
      <c r="H983"/>
      <c r="I983"/>
    </row>
    <row r="984" spans="5:9" x14ac:dyDescent="0.25">
      <c r="E984"/>
      <c r="F984" s="131"/>
      <c r="G984"/>
      <c r="H984"/>
      <c r="I984"/>
    </row>
    <row r="985" spans="5:9" x14ac:dyDescent="0.25">
      <c r="E985"/>
      <c r="F985" s="131"/>
      <c r="G985"/>
      <c r="H985"/>
      <c r="I985"/>
    </row>
    <row r="986" spans="5:9" x14ac:dyDescent="0.25">
      <c r="E986"/>
      <c r="F986" s="131"/>
      <c r="G986"/>
      <c r="H986"/>
      <c r="I986"/>
    </row>
    <row r="987" spans="5:9" x14ac:dyDescent="0.25">
      <c r="E987"/>
      <c r="F987" s="131"/>
      <c r="G987"/>
      <c r="H987"/>
      <c r="I987"/>
    </row>
    <row r="988" spans="5:9" x14ac:dyDescent="0.25">
      <c r="E988"/>
      <c r="F988" s="131"/>
      <c r="G988"/>
      <c r="H988"/>
      <c r="I988"/>
    </row>
    <row r="989" spans="5:9" x14ac:dyDescent="0.25">
      <c r="E989"/>
      <c r="F989" s="131"/>
      <c r="G989"/>
      <c r="H989"/>
      <c r="I989"/>
    </row>
    <row r="990" spans="5:9" x14ac:dyDescent="0.25">
      <c r="E990"/>
      <c r="F990" s="131"/>
      <c r="G990"/>
      <c r="H990"/>
      <c r="I990"/>
    </row>
    <row r="991" spans="5:9" x14ac:dyDescent="0.25">
      <c r="E991"/>
      <c r="F991" s="131"/>
      <c r="G991"/>
      <c r="H991"/>
      <c r="I991"/>
    </row>
    <row r="992" spans="5:9" x14ac:dyDescent="0.25">
      <c r="E992"/>
      <c r="F992" s="131"/>
      <c r="G992"/>
      <c r="H992"/>
      <c r="I992"/>
    </row>
    <row r="993" spans="5:9" x14ac:dyDescent="0.25">
      <c r="E993"/>
      <c r="F993" s="131"/>
      <c r="G993"/>
      <c r="H993"/>
      <c r="I993"/>
    </row>
    <row r="994" spans="5:9" x14ac:dyDescent="0.25">
      <c r="E994"/>
      <c r="F994" s="131"/>
      <c r="G994"/>
      <c r="H994"/>
      <c r="I994"/>
    </row>
    <row r="995" spans="5:9" x14ac:dyDescent="0.25">
      <c r="E995"/>
      <c r="F995" s="131"/>
      <c r="G995"/>
      <c r="H995"/>
      <c r="I995"/>
    </row>
    <row r="996" spans="5:9" x14ac:dyDescent="0.25">
      <c r="E996"/>
      <c r="F996" s="131"/>
      <c r="G996"/>
      <c r="H996"/>
      <c r="I996"/>
    </row>
    <row r="997" spans="5:9" x14ac:dyDescent="0.25">
      <c r="E997"/>
      <c r="F997" s="131"/>
      <c r="G997"/>
      <c r="H997"/>
      <c r="I997"/>
    </row>
    <row r="998" spans="5:9" x14ac:dyDescent="0.25">
      <c r="E998"/>
      <c r="F998" s="131"/>
      <c r="G998"/>
      <c r="H998"/>
      <c r="I998"/>
    </row>
    <row r="999" spans="5:9" x14ac:dyDescent="0.25">
      <c r="E999"/>
      <c r="F999" s="131"/>
      <c r="G999"/>
      <c r="H999"/>
      <c r="I999"/>
    </row>
    <row r="1000" spans="5:9" x14ac:dyDescent="0.25">
      <c r="E1000"/>
      <c r="F1000" s="131"/>
      <c r="G1000"/>
      <c r="H1000"/>
      <c r="I1000"/>
    </row>
    <row r="1001" spans="5:9" x14ac:dyDescent="0.25">
      <c r="E1001"/>
      <c r="F1001" s="131"/>
      <c r="G1001"/>
      <c r="H1001"/>
      <c r="I1001"/>
    </row>
    <row r="1002" spans="5:9" x14ac:dyDescent="0.25">
      <c r="E1002"/>
      <c r="F1002" s="131"/>
      <c r="G1002"/>
      <c r="H1002"/>
      <c r="I1002"/>
    </row>
    <row r="1003" spans="5:9" x14ac:dyDescent="0.25">
      <c r="E1003"/>
      <c r="F1003" s="131"/>
      <c r="G1003"/>
      <c r="H1003"/>
      <c r="I1003"/>
    </row>
    <row r="1004" spans="5:9" x14ac:dyDescent="0.25">
      <c r="E1004"/>
      <c r="F1004" s="131"/>
      <c r="G1004"/>
      <c r="H1004"/>
      <c r="I1004"/>
    </row>
    <row r="1005" spans="5:9" x14ac:dyDescent="0.25">
      <c r="E1005"/>
      <c r="F1005" s="131"/>
      <c r="G1005"/>
      <c r="H1005"/>
      <c r="I1005"/>
    </row>
    <row r="1006" spans="5:9" x14ac:dyDescent="0.25">
      <c r="E1006"/>
      <c r="F1006" s="131"/>
      <c r="G1006"/>
      <c r="H1006"/>
      <c r="I1006"/>
    </row>
    <row r="1007" spans="5:9" x14ac:dyDescent="0.25">
      <c r="E1007"/>
      <c r="F1007" s="131"/>
      <c r="G1007"/>
      <c r="H1007"/>
      <c r="I1007"/>
    </row>
    <row r="1008" spans="5:9" x14ac:dyDescent="0.25">
      <c r="E1008"/>
      <c r="F1008" s="131"/>
      <c r="G1008"/>
      <c r="H1008"/>
      <c r="I1008"/>
    </row>
    <row r="1009" spans="5:9" x14ac:dyDescent="0.25">
      <c r="E1009"/>
      <c r="F1009" s="131"/>
      <c r="G1009"/>
      <c r="H1009"/>
      <c r="I1009"/>
    </row>
    <row r="1010" spans="5:9" x14ac:dyDescent="0.25">
      <c r="E1010"/>
      <c r="F1010" s="131"/>
      <c r="G1010"/>
      <c r="H1010"/>
      <c r="I1010"/>
    </row>
    <row r="1011" spans="5:9" x14ac:dyDescent="0.25">
      <c r="E1011"/>
      <c r="F1011" s="131"/>
      <c r="G1011"/>
      <c r="H1011"/>
      <c r="I1011"/>
    </row>
    <row r="1012" spans="5:9" x14ac:dyDescent="0.25">
      <c r="E1012"/>
      <c r="F1012" s="131"/>
      <c r="G1012"/>
      <c r="H1012"/>
      <c r="I1012"/>
    </row>
    <row r="1013" spans="5:9" x14ac:dyDescent="0.25">
      <c r="E1013"/>
      <c r="F1013" s="131"/>
      <c r="G1013"/>
      <c r="H1013"/>
      <c r="I1013"/>
    </row>
    <row r="1014" spans="5:9" x14ac:dyDescent="0.25">
      <c r="E1014"/>
      <c r="F1014" s="131"/>
      <c r="G1014"/>
      <c r="H1014"/>
      <c r="I1014"/>
    </row>
    <row r="1015" spans="5:9" x14ac:dyDescent="0.25">
      <c r="E1015"/>
      <c r="F1015" s="131"/>
      <c r="G1015"/>
      <c r="H1015"/>
      <c r="I1015"/>
    </row>
    <row r="1016" spans="5:9" x14ac:dyDescent="0.25">
      <c r="E1016"/>
      <c r="F1016" s="131"/>
      <c r="G1016"/>
      <c r="H1016"/>
      <c r="I1016"/>
    </row>
    <row r="1017" spans="5:9" x14ac:dyDescent="0.25">
      <c r="E1017"/>
      <c r="F1017" s="131"/>
      <c r="G1017"/>
      <c r="H1017"/>
      <c r="I1017"/>
    </row>
    <row r="1018" spans="5:9" x14ac:dyDescent="0.25">
      <c r="E1018"/>
      <c r="F1018" s="131"/>
      <c r="G1018"/>
      <c r="H1018"/>
      <c r="I1018"/>
    </row>
    <row r="1019" spans="5:9" x14ac:dyDescent="0.25">
      <c r="E1019"/>
      <c r="F1019" s="131"/>
      <c r="G1019"/>
      <c r="H1019"/>
      <c r="I1019"/>
    </row>
    <row r="1020" spans="5:9" x14ac:dyDescent="0.25">
      <c r="E1020"/>
      <c r="F1020" s="131"/>
      <c r="G1020"/>
      <c r="H1020"/>
      <c r="I1020"/>
    </row>
    <row r="1021" spans="5:9" x14ac:dyDescent="0.25">
      <c r="E1021"/>
      <c r="F1021" s="131"/>
      <c r="G1021"/>
      <c r="H1021"/>
      <c r="I1021"/>
    </row>
    <row r="1022" spans="5:9" x14ac:dyDescent="0.25">
      <c r="E1022"/>
      <c r="F1022" s="131"/>
      <c r="G1022"/>
      <c r="H1022"/>
      <c r="I1022"/>
    </row>
    <row r="1023" spans="5:9" x14ac:dyDescent="0.25">
      <c r="E1023"/>
      <c r="F1023" s="131"/>
      <c r="G1023"/>
      <c r="H1023"/>
      <c r="I1023"/>
    </row>
    <row r="1024" spans="5:9" x14ac:dyDescent="0.25">
      <c r="E1024"/>
      <c r="F1024" s="131"/>
      <c r="G1024"/>
      <c r="H1024"/>
      <c r="I1024"/>
    </row>
    <row r="1025" spans="5:9" x14ac:dyDescent="0.25">
      <c r="E1025"/>
      <c r="F1025" s="131"/>
      <c r="G1025"/>
      <c r="H1025"/>
      <c r="I1025"/>
    </row>
    <row r="1026" spans="5:9" x14ac:dyDescent="0.25">
      <c r="E1026"/>
      <c r="F1026" s="131"/>
      <c r="G1026"/>
      <c r="H1026"/>
      <c r="I1026"/>
    </row>
    <row r="1027" spans="5:9" x14ac:dyDescent="0.25">
      <c r="E1027"/>
      <c r="F1027" s="131"/>
      <c r="G1027"/>
      <c r="H1027"/>
      <c r="I1027"/>
    </row>
    <row r="1028" spans="5:9" x14ac:dyDescent="0.25">
      <c r="E1028"/>
      <c r="F1028" s="131"/>
      <c r="G1028"/>
      <c r="H1028"/>
      <c r="I1028"/>
    </row>
    <row r="1029" spans="5:9" x14ac:dyDescent="0.25">
      <c r="E1029"/>
      <c r="F1029" s="131"/>
      <c r="G1029"/>
      <c r="H1029"/>
      <c r="I1029"/>
    </row>
    <row r="1030" spans="5:9" x14ac:dyDescent="0.25">
      <c r="E1030"/>
      <c r="F1030" s="131"/>
      <c r="G1030"/>
      <c r="H1030"/>
      <c r="I1030"/>
    </row>
    <row r="1031" spans="5:9" x14ac:dyDescent="0.25">
      <c r="E1031"/>
      <c r="F1031" s="131"/>
      <c r="G1031"/>
      <c r="H1031"/>
      <c r="I1031"/>
    </row>
    <row r="1032" spans="5:9" x14ac:dyDescent="0.25">
      <c r="E1032"/>
      <c r="F1032" s="131"/>
      <c r="G1032"/>
      <c r="H1032"/>
      <c r="I1032"/>
    </row>
    <row r="1033" spans="5:9" x14ac:dyDescent="0.25">
      <c r="E1033"/>
      <c r="F1033" s="131"/>
      <c r="G1033"/>
      <c r="H1033"/>
      <c r="I1033"/>
    </row>
    <row r="1034" spans="5:9" x14ac:dyDescent="0.25">
      <c r="E1034"/>
      <c r="F1034" s="131"/>
      <c r="G1034"/>
      <c r="H1034"/>
      <c r="I1034"/>
    </row>
    <row r="1035" spans="5:9" x14ac:dyDescent="0.25">
      <c r="E1035"/>
      <c r="F1035" s="131"/>
      <c r="G1035"/>
      <c r="H1035"/>
      <c r="I1035"/>
    </row>
    <row r="1036" spans="5:9" x14ac:dyDescent="0.25">
      <c r="E1036"/>
      <c r="F1036" s="131"/>
      <c r="G1036"/>
      <c r="H1036"/>
      <c r="I1036"/>
    </row>
    <row r="1037" spans="5:9" x14ac:dyDescent="0.25">
      <c r="E1037"/>
      <c r="F1037" s="131"/>
      <c r="G1037"/>
      <c r="H1037"/>
      <c r="I1037"/>
    </row>
    <row r="1038" spans="5:9" x14ac:dyDescent="0.25">
      <c r="E1038"/>
      <c r="F1038" s="131"/>
      <c r="G1038"/>
      <c r="H1038"/>
      <c r="I1038"/>
    </row>
    <row r="1039" spans="5:9" x14ac:dyDescent="0.25">
      <c r="E1039"/>
      <c r="F1039" s="131"/>
      <c r="G1039"/>
      <c r="H1039"/>
      <c r="I1039"/>
    </row>
    <row r="1040" spans="5:9" x14ac:dyDescent="0.25">
      <c r="E1040"/>
      <c r="F1040" s="131"/>
      <c r="G1040"/>
      <c r="H1040"/>
      <c r="I1040"/>
    </row>
    <row r="1041" spans="5:9" x14ac:dyDescent="0.25">
      <c r="E1041"/>
      <c r="F1041" s="131"/>
      <c r="G1041"/>
      <c r="H1041"/>
      <c r="I1041"/>
    </row>
    <row r="1042" spans="5:9" x14ac:dyDescent="0.25">
      <c r="E1042"/>
      <c r="F1042" s="131"/>
      <c r="G1042"/>
      <c r="H1042"/>
      <c r="I1042"/>
    </row>
    <row r="1043" spans="5:9" x14ac:dyDescent="0.25">
      <c r="E1043"/>
      <c r="F1043" s="131"/>
      <c r="G1043"/>
      <c r="H1043"/>
      <c r="I1043"/>
    </row>
    <row r="1044" spans="5:9" x14ac:dyDescent="0.25">
      <c r="E1044"/>
      <c r="F1044" s="131"/>
      <c r="G1044"/>
      <c r="H1044"/>
      <c r="I1044"/>
    </row>
    <row r="1045" spans="5:9" x14ac:dyDescent="0.25">
      <c r="E1045"/>
      <c r="F1045" s="131"/>
      <c r="G1045"/>
      <c r="H1045"/>
      <c r="I1045"/>
    </row>
    <row r="1046" spans="5:9" x14ac:dyDescent="0.25">
      <c r="E1046"/>
      <c r="F1046" s="131"/>
      <c r="G1046"/>
      <c r="H1046"/>
      <c r="I1046"/>
    </row>
    <row r="1047" spans="5:9" x14ac:dyDescent="0.25">
      <c r="E1047"/>
      <c r="F1047" s="131"/>
      <c r="G1047"/>
      <c r="H1047"/>
      <c r="I1047"/>
    </row>
    <row r="1048" spans="5:9" x14ac:dyDescent="0.25">
      <c r="E1048"/>
      <c r="F1048" s="131"/>
      <c r="G1048"/>
      <c r="H1048"/>
      <c r="I1048"/>
    </row>
    <row r="1049" spans="5:9" x14ac:dyDescent="0.25">
      <c r="E1049"/>
      <c r="F1049" s="131"/>
      <c r="G1049"/>
      <c r="H1049"/>
      <c r="I1049"/>
    </row>
    <row r="1050" spans="5:9" x14ac:dyDescent="0.25">
      <c r="E1050"/>
      <c r="F1050" s="131"/>
      <c r="G1050"/>
      <c r="H1050"/>
      <c r="I1050"/>
    </row>
    <row r="1051" spans="5:9" x14ac:dyDescent="0.25">
      <c r="E1051"/>
      <c r="F1051" s="131"/>
      <c r="G1051"/>
      <c r="H1051"/>
      <c r="I1051"/>
    </row>
    <row r="1052" spans="5:9" x14ac:dyDescent="0.25">
      <c r="E1052"/>
      <c r="F1052" s="131"/>
      <c r="G1052"/>
      <c r="H1052"/>
      <c r="I1052"/>
    </row>
    <row r="1053" spans="5:9" x14ac:dyDescent="0.25">
      <c r="E1053"/>
      <c r="F1053" s="131"/>
      <c r="G1053"/>
      <c r="H1053"/>
      <c r="I1053"/>
    </row>
    <row r="1054" spans="5:9" x14ac:dyDescent="0.25">
      <c r="E1054"/>
      <c r="F1054" s="131"/>
      <c r="G1054"/>
      <c r="H1054"/>
      <c r="I1054"/>
    </row>
    <row r="1055" spans="5:9" x14ac:dyDescent="0.25">
      <c r="E1055"/>
      <c r="F1055" s="131"/>
      <c r="G1055"/>
      <c r="H1055"/>
      <c r="I1055"/>
    </row>
    <row r="1056" spans="5:9" x14ac:dyDescent="0.25">
      <c r="E1056"/>
      <c r="F1056" s="131"/>
      <c r="G1056"/>
      <c r="H1056"/>
      <c r="I1056"/>
    </row>
    <row r="1057" spans="5:9" x14ac:dyDescent="0.25">
      <c r="E1057"/>
      <c r="F1057" s="131"/>
      <c r="G1057"/>
      <c r="H1057"/>
      <c r="I1057"/>
    </row>
    <row r="1058" spans="5:9" x14ac:dyDescent="0.25">
      <c r="E1058"/>
      <c r="F1058" s="131"/>
      <c r="G1058"/>
      <c r="H1058"/>
      <c r="I1058"/>
    </row>
    <row r="1059" spans="5:9" x14ac:dyDescent="0.25">
      <c r="E1059"/>
      <c r="F1059" s="131"/>
      <c r="G1059"/>
      <c r="H1059"/>
      <c r="I1059"/>
    </row>
    <row r="1060" spans="5:9" x14ac:dyDescent="0.25">
      <c r="E1060"/>
      <c r="F1060" s="131"/>
      <c r="G1060"/>
      <c r="H1060"/>
      <c r="I1060"/>
    </row>
    <row r="1061" spans="5:9" x14ac:dyDescent="0.25">
      <c r="E1061"/>
      <c r="F1061" s="131"/>
      <c r="G1061"/>
      <c r="H1061"/>
      <c r="I1061"/>
    </row>
    <row r="1062" spans="5:9" x14ac:dyDescent="0.25">
      <c r="E1062"/>
      <c r="F1062" s="131"/>
      <c r="G1062"/>
      <c r="H1062"/>
      <c r="I1062"/>
    </row>
    <row r="1063" spans="5:9" x14ac:dyDescent="0.25">
      <c r="E1063"/>
      <c r="F1063" s="131"/>
      <c r="G1063"/>
      <c r="H1063"/>
      <c r="I1063"/>
    </row>
    <row r="1064" spans="5:9" x14ac:dyDescent="0.25">
      <c r="E1064"/>
      <c r="F1064" s="131"/>
      <c r="G1064"/>
      <c r="H1064"/>
      <c r="I1064"/>
    </row>
    <row r="1065" spans="5:9" x14ac:dyDescent="0.25">
      <c r="E1065"/>
      <c r="F1065" s="131"/>
      <c r="G1065"/>
      <c r="H1065"/>
      <c r="I1065"/>
    </row>
    <row r="1066" spans="5:9" x14ac:dyDescent="0.25">
      <c r="E1066"/>
      <c r="F1066" s="131"/>
      <c r="G1066"/>
      <c r="H1066"/>
      <c r="I1066"/>
    </row>
    <row r="1067" spans="5:9" x14ac:dyDescent="0.25">
      <c r="E1067"/>
      <c r="F1067" s="131"/>
      <c r="G1067"/>
      <c r="H1067"/>
      <c r="I1067"/>
    </row>
    <row r="1068" spans="5:9" x14ac:dyDescent="0.25">
      <c r="E1068"/>
      <c r="F1068" s="131"/>
      <c r="G1068"/>
      <c r="H1068"/>
      <c r="I1068"/>
    </row>
    <row r="1069" spans="5:9" x14ac:dyDescent="0.25">
      <c r="E1069"/>
      <c r="F1069" s="131"/>
      <c r="G1069"/>
      <c r="H1069"/>
      <c r="I1069"/>
    </row>
    <row r="1070" spans="5:9" x14ac:dyDescent="0.25">
      <c r="E1070"/>
      <c r="F1070" s="131"/>
      <c r="G1070"/>
      <c r="H1070"/>
      <c r="I1070"/>
    </row>
    <row r="1071" spans="5:9" x14ac:dyDescent="0.25">
      <c r="E1071"/>
      <c r="F1071" s="131"/>
      <c r="G1071"/>
      <c r="H1071"/>
      <c r="I1071"/>
    </row>
    <row r="1072" spans="5:9" x14ac:dyDescent="0.25">
      <c r="E1072"/>
      <c r="F1072" s="131"/>
      <c r="G1072"/>
      <c r="H1072"/>
      <c r="I1072"/>
    </row>
    <row r="1073" spans="5:9" x14ac:dyDescent="0.25">
      <c r="E1073"/>
      <c r="F1073" s="131"/>
      <c r="G1073"/>
      <c r="H1073"/>
      <c r="I1073"/>
    </row>
    <row r="1074" spans="5:9" x14ac:dyDescent="0.25">
      <c r="E1074"/>
      <c r="F1074" s="131"/>
      <c r="G1074"/>
      <c r="H1074"/>
      <c r="I1074"/>
    </row>
    <row r="1075" spans="5:9" x14ac:dyDescent="0.25">
      <c r="E1075"/>
      <c r="F1075" s="131"/>
      <c r="G1075"/>
      <c r="H1075"/>
      <c r="I1075"/>
    </row>
    <row r="1076" spans="5:9" x14ac:dyDescent="0.25">
      <c r="E1076"/>
      <c r="F1076" s="131"/>
      <c r="G1076"/>
      <c r="H1076"/>
      <c r="I1076"/>
    </row>
    <row r="1077" spans="5:9" x14ac:dyDescent="0.25">
      <c r="E1077"/>
      <c r="F1077" s="131"/>
      <c r="G1077"/>
      <c r="H1077"/>
      <c r="I1077"/>
    </row>
    <row r="1078" spans="5:9" x14ac:dyDescent="0.25">
      <c r="E1078"/>
      <c r="F1078" s="131"/>
      <c r="G1078"/>
      <c r="H1078"/>
      <c r="I1078"/>
    </row>
    <row r="1079" spans="5:9" x14ac:dyDescent="0.25">
      <c r="E1079"/>
      <c r="F1079" s="131"/>
      <c r="G1079"/>
      <c r="H1079"/>
      <c r="I1079"/>
    </row>
    <row r="1080" spans="5:9" x14ac:dyDescent="0.25">
      <c r="E1080"/>
      <c r="F1080" s="131"/>
      <c r="G1080"/>
      <c r="H1080"/>
      <c r="I1080"/>
    </row>
    <row r="1081" spans="5:9" x14ac:dyDescent="0.25">
      <c r="E1081"/>
      <c r="F1081" s="131"/>
      <c r="G1081"/>
      <c r="H1081"/>
      <c r="I1081"/>
    </row>
    <row r="1082" spans="5:9" x14ac:dyDescent="0.25">
      <c r="E1082"/>
      <c r="F1082" s="131"/>
      <c r="G1082"/>
      <c r="H1082"/>
      <c r="I1082"/>
    </row>
    <row r="1083" spans="5:9" x14ac:dyDescent="0.25">
      <c r="E1083"/>
      <c r="F1083" s="131"/>
      <c r="G1083"/>
      <c r="H1083"/>
      <c r="I1083"/>
    </row>
    <row r="1084" spans="5:9" x14ac:dyDescent="0.25">
      <c r="E1084"/>
      <c r="F1084" s="131"/>
      <c r="G1084"/>
      <c r="H1084"/>
      <c r="I1084"/>
    </row>
    <row r="1085" spans="5:9" x14ac:dyDescent="0.25">
      <c r="E1085"/>
      <c r="F1085" s="131"/>
      <c r="G1085"/>
      <c r="H1085"/>
      <c r="I1085"/>
    </row>
    <row r="1086" spans="5:9" x14ac:dyDescent="0.25">
      <c r="E1086"/>
      <c r="F1086" s="131"/>
      <c r="G1086"/>
      <c r="H1086"/>
      <c r="I1086"/>
    </row>
    <row r="1087" spans="5:9" x14ac:dyDescent="0.25">
      <c r="E1087"/>
      <c r="F1087" s="131"/>
      <c r="G1087"/>
      <c r="H1087"/>
      <c r="I1087"/>
    </row>
    <row r="1088" spans="5:9" x14ac:dyDescent="0.25">
      <c r="E1088"/>
      <c r="F1088" s="131"/>
      <c r="G1088"/>
      <c r="H1088"/>
      <c r="I1088"/>
    </row>
    <row r="1089" spans="5:9" x14ac:dyDescent="0.25">
      <c r="E1089"/>
      <c r="F1089" s="131"/>
      <c r="G1089"/>
      <c r="H1089"/>
      <c r="I1089"/>
    </row>
    <row r="1090" spans="5:9" x14ac:dyDescent="0.25">
      <c r="E1090"/>
      <c r="F1090" s="131"/>
      <c r="G1090"/>
      <c r="H1090"/>
      <c r="I1090"/>
    </row>
    <row r="1091" spans="5:9" x14ac:dyDescent="0.25">
      <c r="E1091"/>
      <c r="F1091" s="131"/>
      <c r="G1091"/>
      <c r="H1091"/>
      <c r="I1091"/>
    </row>
    <row r="1092" spans="5:9" x14ac:dyDescent="0.25">
      <c r="E1092"/>
      <c r="F1092" s="131"/>
      <c r="G1092"/>
      <c r="H1092"/>
      <c r="I1092"/>
    </row>
    <row r="1093" spans="5:9" x14ac:dyDescent="0.25">
      <c r="E1093"/>
      <c r="F1093" s="131"/>
      <c r="G1093"/>
      <c r="H1093"/>
      <c r="I1093"/>
    </row>
    <row r="1094" spans="5:9" x14ac:dyDescent="0.25">
      <c r="E1094"/>
      <c r="F1094" s="131"/>
      <c r="G1094"/>
      <c r="H1094"/>
      <c r="I1094"/>
    </row>
    <row r="1095" spans="5:9" x14ac:dyDescent="0.25">
      <c r="E1095"/>
      <c r="F1095" s="131"/>
      <c r="G1095"/>
      <c r="H1095"/>
      <c r="I1095"/>
    </row>
    <row r="1096" spans="5:9" x14ac:dyDescent="0.25">
      <c r="E1096"/>
      <c r="F1096" s="131"/>
      <c r="G1096"/>
      <c r="H1096"/>
      <c r="I1096"/>
    </row>
    <row r="1097" spans="5:9" x14ac:dyDescent="0.25">
      <c r="E1097"/>
      <c r="F1097" s="131"/>
      <c r="G1097"/>
      <c r="H1097"/>
      <c r="I1097"/>
    </row>
    <row r="1098" spans="5:9" x14ac:dyDescent="0.25">
      <c r="E1098"/>
      <c r="F1098" s="131"/>
      <c r="G1098"/>
      <c r="H1098"/>
      <c r="I1098"/>
    </row>
    <row r="1099" spans="5:9" x14ac:dyDescent="0.25">
      <c r="E1099"/>
      <c r="F1099" s="131"/>
      <c r="G1099"/>
      <c r="H1099"/>
      <c r="I1099"/>
    </row>
    <row r="1100" spans="5:9" x14ac:dyDescent="0.25">
      <c r="E1100"/>
      <c r="F1100" s="131"/>
      <c r="G1100"/>
      <c r="H1100"/>
      <c r="I1100"/>
    </row>
    <row r="1101" spans="5:9" x14ac:dyDescent="0.25">
      <c r="E1101"/>
      <c r="F1101" s="131"/>
      <c r="G1101"/>
      <c r="H1101"/>
      <c r="I1101"/>
    </row>
    <row r="1102" spans="5:9" x14ac:dyDescent="0.25">
      <c r="E1102"/>
      <c r="F1102" s="131"/>
      <c r="G1102"/>
      <c r="H1102"/>
      <c r="I1102"/>
    </row>
    <row r="1103" spans="5:9" x14ac:dyDescent="0.25">
      <c r="E1103"/>
      <c r="F1103" s="131"/>
      <c r="G1103"/>
      <c r="H1103"/>
      <c r="I1103"/>
    </row>
    <row r="1104" spans="5:9" x14ac:dyDescent="0.25">
      <c r="E1104"/>
      <c r="F1104" s="131"/>
      <c r="G1104"/>
      <c r="H1104"/>
      <c r="I1104"/>
    </row>
    <row r="1105" spans="5:9" x14ac:dyDescent="0.25">
      <c r="E1105"/>
      <c r="F1105" s="131"/>
      <c r="G1105"/>
      <c r="H1105"/>
      <c r="I1105"/>
    </row>
    <row r="1106" spans="5:9" x14ac:dyDescent="0.25">
      <c r="E1106"/>
      <c r="F1106" s="131"/>
      <c r="G1106"/>
      <c r="H1106"/>
      <c r="I1106"/>
    </row>
    <row r="1107" spans="5:9" x14ac:dyDescent="0.25">
      <c r="E1107"/>
      <c r="F1107" s="131"/>
      <c r="G1107"/>
      <c r="H1107"/>
      <c r="I1107"/>
    </row>
    <row r="1108" spans="5:9" x14ac:dyDescent="0.25">
      <c r="E1108"/>
      <c r="F1108" s="131"/>
      <c r="G1108"/>
      <c r="H1108"/>
      <c r="I1108"/>
    </row>
    <row r="1109" spans="5:9" x14ac:dyDescent="0.25">
      <c r="E1109"/>
      <c r="F1109" s="131"/>
      <c r="G1109"/>
      <c r="H1109"/>
      <c r="I1109"/>
    </row>
    <row r="1110" spans="5:9" x14ac:dyDescent="0.25">
      <c r="E1110"/>
      <c r="F1110" s="131"/>
      <c r="G1110"/>
      <c r="H1110"/>
      <c r="I1110"/>
    </row>
    <row r="1111" spans="5:9" x14ac:dyDescent="0.25">
      <c r="E1111"/>
      <c r="F1111" s="131"/>
      <c r="G1111"/>
      <c r="H1111"/>
      <c r="I1111"/>
    </row>
    <row r="1112" spans="5:9" x14ac:dyDescent="0.25">
      <c r="E1112"/>
      <c r="F1112" s="131"/>
      <c r="G1112"/>
      <c r="H1112"/>
      <c r="I1112"/>
    </row>
    <row r="1113" spans="5:9" x14ac:dyDescent="0.25">
      <c r="E1113"/>
      <c r="F1113" s="131"/>
      <c r="G1113"/>
      <c r="H1113"/>
      <c r="I1113"/>
    </row>
    <row r="1114" spans="5:9" x14ac:dyDescent="0.25">
      <c r="E1114"/>
      <c r="F1114" s="131"/>
      <c r="G1114"/>
      <c r="H1114"/>
      <c r="I1114"/>
    </row>
    <row r="1115" spans="5:9" x14ac:dyDescent="0.25">
      <c r="E1115"/>
      <c r="F1115" s="131"/>
      <c r="G1115"/>
      <c r="H1115"/>
      <c r="I1115"/>
    </row>
    <row r="1116" spans="5:9" x14ac:dyDescent="0.25">
      <c r="E1116"/>
      <c r="F1116" s="131"/>
      <c r="G1116"/>
      <c r="H1116"/>
      <c r="I1116"/>
    </row>
    <row r="1117" spans="5:9" x14ac:dyDescent="0.25">
      <c r="E1117"/>
      <c r="F1117" s="131"/>
      <c r="G1117"/>
      <c r="H1117"/>
      <c r="I1117"/>
    </row>
    <row r="1118" spans="5:9" x14ac:dyDescent="0.25">
      <c r="E1118"/>
      <c r="F1118" s="131"/>
      <c r="G1118"/>
      <c r="H1118"/>
      <c r="I1118"/>
    </row>
    <row r="1119" spans="5:9" x14ac:dyDescent="0.25">
      <c r="E1119"/>
      <c r="F1119" s="131"/>
      <c r="G1119"/>
      <c r="H1119"/>
      <c r="I1119"/>
    </row>
    <row r="1120" spans="5:9" x14ac:dyDescent="0.25">
      <c r="E1120"/>
      <c r="F1120" s="131"/>
      <c r="G1120"/>
      <c r="H1120"/>
      <c r="I1120"/>
    </row>
    <row r="1121" spans="5:9" x14ac:dyDescent="0.25">
      <c r="E1121"/>
      <c r="F1121" s="131"/>
      <c r="G1121"/>
      <c r="H1121"/>
      <c r="I1121"/>
    </row>
    <row r="1122" spans="5:9" x14ac:dyDescent="0.25">
      <c r="E1122"/>
      <c r="F1122" s="131"/>
      <c r="G1122"/>
      <c r="H1122"/>
      <c r="I1122"/>
    </row>
    <row r="1123" spans="5:9" x14ac:dyDescent="0.25">
      <c r="E1123"/>
      <c r="F1123" s="131"/>
      <c r="G1123"/>
      <c r="H1123"/>
      <c r="I1123"/>
    </row>
    <row r="1124" spans="5:9" x14ac:dyDescent="0.25">
      <c r="E1124"/>
      <c r="F1124" s="131"/>
      <c r="G1124"/>
      <c r="H1124"/>
      <c r="I1124"/>
    </row>
    <row r="1125" spans="5:9" x14ac:dyDescent="0.25">
      <c r="E1125"/>
      <c r="F1125" s="131"/>
      <c r="G1125"/>
      <c r="H1125"/>
      <c r="I1125"/>
    </row>
    <row r="1126" spans="5:9" x14ac:dyDescent="0.25">
      <c r="E1126"/>
      <c r="F1126" s="131"/>
      <c r="G1126"/>
      <c r="H1126"/>
      <c r="I1126"/>
    </row>
    <row r="1127" spans="5:9" x14ac:dyDescent="0.25">
      <c r="E1127"/>
      <c r="F1127" s="131"/>
      <c r="G1127"/>
      <c r="H1127"/>
      <c r="I1127"/>
    </row>
    <row r="1128" spans="5:9" x14ac:dyDescent="0.25">
      <c r="E1128"/>
      <c r="F1128" s="131"/>
      <c r="G1128"/>
      <c r="H1128"/>
      <c r="I1128"/>
    </row>
    <row r="1129" spans="5:9" x14ac:dyDescent="0.25">
      <c r="E1129"/>
      <c r="F1129" s="131"/>
      <c r="G1129"/>
      <c r="H1129"/>
      <c r="I1129"/>
    </row>
    <row r="1130" spans="5:9" x14ac:dyDescent="0.25">
      <c r="E1130"/>
      <c r="F1130" s="131"/>
      <c r="G1130"/>
      <c r="H1130"/>
      <c r="I1130"/>
    </row>
    <row r="1131" spans="5:9" x14ac:dyDescent="0.25">
      <c r="E1131"/>
      <c r="F1131" s="131"/>
      <c r="G1131"/>
      <c r="H1131"/>
      <c r="I1131"/>
    </row>
    <row r="1132" spans="5:9" x14ac:dyDescent="0.25">
      <c r="E1132"/>
      <c r="F1132" s="131"/>
      <c r="G1132"/>
      <c r="H1132"/>
      <c r="I1132"/>
    </row>
    <row r="1133" spans="5:9" x14ac:dyDescent="0.25">
      <c r="E1133"/>
      <c r="F1133" s="131"/>
      <c r="G1133"/>
      <c r="H1133"/>
      <c r="I1133"/>
    </row>
    <row r="1134" spans="5:9" x14ac:dyDescent="0.25">
      <c r="E1134"/>
      <c r="F1134" s="131"/>
      <c r="G1134"/>
      <c r="H1134"/>
      <c r="I1134"/>
    </row>
    <row r="1135" spans="5:9" x14ac:dyDescent="0.25">
      <c r="E1135"/>
      <c r="F1135" s="131"/>
      <c r="G1135"/>
      <c r="H1135"/>
      <c r="I1135"/>
    </row>
    <row r="1136" spans="5:9" x14ac:dyDescent="0.25">
      <c r="E1136"/>
      <c r="F1136" s="131"/>
      <c r="G1136"/>
      <c r="H1136"/>
      <c r="I1136"/>
    </row>
    <row r="1137" spans="5:9" x14ac:dyDescent="0.25">
      <c r="E1137"/>
      <c r="F1137" s="131"/>
      <c r="G1137"/>
      <c r="H1137"/>
      <c r="I1137"/>
    </row>
    <row r="1138" spans="5:9" x14ac:dyDescent="0.25">
      <c r="E1138"/>
      <c r="F1138" s="131"/>
      <c r="G1138"/>
      <c r="H1138"/>
      <c r="I1138"/>
    </row>
    <row r="1139" spans="5:9" x14ac:dyDescent="0.25">
      <c r="E1139"/>
      <c r="F1139" s="131"/>
      <c r="G1139"/>
      <c r="H1139"/>
      <c r="I1139"/>
    </row>
    <row r="1140" spans="5:9" x14ac:dyDescent="0.25">
      <c r="E1140"/>
      <c r="F1140" s="131"/>
      <c r="G1140"/>
      <c r="H1140"/>
      <c r="I1140"/>
    </row>
    <row r="1141" spans="5:9" x14ac:dyDescent="0.25">
      <c r="E1141"/>
      <c r="F1141" s="131"/>
      <c r="G1141"/>
      <c r="H1141"/>
      <c r="I1141"/>
    </row>
    <row r="1142" spans="5:9" x14ac:dyDescent="0.25">
      <c r="E1142"/>
      <c r="F1142" s="131"/>
      <c r="G1142"/>
      <c r="H1142"/>
      <c r="I1142"/>
    </row>
    <row r="1143" spans="5:9" x14ac:dyDescent="0.25">
      <c r="E1143"/>
      <c r="F1143" s="131"/>
      <c r="G1143"/>
      <c r="H1143"/>
      <c r="I1143"/>
    </row>
    <row r="1144" spans="5:9" x14ac:dyDescent="0.25">
      <c r="E1144"/>
      <c r="F1144" s="131"/>
      <c r="G1144"/>
      <c r="H1144"/>
      <c r="I1144"/>
    </row>
    <row r="1145" spans="5:9" x14ac:dyDescent="0.25">
      <c r="E1145"/>
      <c r="F1145" s="131"/>
      <c r="G1145"/>
      <c r="H1145"/>
      <c r="I1145"/>
    </row>
    <row r="1146" spans="5:9" x14ac:dyDescent="0.25">
      <c r="E1146"/>
      <c r="F1146" s="131"/>
      <c r="G1146"/>
      <c r="H1146"/>
      <c r="I1146"/>
    </row>
    <row r="1147" spans="5:9" x14ac:dyDescent="0.25">
      <c r="E1147"/>
      <c r="F1147" s="131"/>
      <c r="G1147"/>
      <c r="H1147"/>
      <c r="I1147"/>
    </row>
    <row r="1148" spans="5:9" x14ac:dyDescent="0.25">
      <c r="E1148"/>
      <c r="F1148" s="131"/>
      <c r="G1148"/>
      <c r="H1148"/>
      <c r="I1148"/>
    </row>
    <row r="1149" spans="5:9" x14ac:dyDescent="0.25">
      <c r="E1149"/>
      <c r="F1149" s="131"/>
      <c r="G1149"/>
      <c r="H1149"/>
      <c r="I1149"/>
    </row>
    <row r="1150" spans="5:9" x14ac:dyDescent="0.25">
      <c r="E1150"/>
      <c r="F1150" s="131"/>
      <c r="G1150"/>
      <c r="H1150"/>
      <c r="I1150"/>
    </row>
    <row r="1151" spans="5:9" x14ac:dyDescent="0.25">
      <c r="E1151"/>
      <c r="F1151" s="131"/>
      <c r="G1151"/>
      <c r="H1151"/>
      <c r="I1151"/>
    </row>
    <row r="1152" spans="5:9" x14ac:dyDescent="0.25">
      <c r="E1152"/>
      <c r="F1152" s="131"/>
      <c r="G1152"/>
      <c r="H1152"/>
      <c r="I1152"/>
    </row>
    <row r="1153" spans="5:9" x14ac:dyDescent="0.25">
      <c r="E1153"/>
      <c r="F1153" s="131"/>
      <c r="G1153"/>
      <c r="H1153"/>
      <c r="I1153"/>
    </row>
    <row r="1154" spans="5:9" x14ac:dyDescent="0.25">
      <c r="E1154"/>
      <c r="F1154" s="131"/>
      <c r="G1154"/>
      <c r="H1154"/>
      <c r="I1154"/>
    </row>
    <row r="1155" spans="5:9" x14ac:dyDescent="0.25">
      <c r="E1155"/>
      <c r="F1155" s="131"/>
      <c r="G1155"/>
      <c r="H1155"/>
      <c r="I1155"/>
    </row>
    <row r="1156" spans="5:9" x14ac:dyDescent="0.25">
      <c r="E1156"/>
      <c r="F1156" s="131"/>
      <c r="G1156"/>
      <c r="H1156"/>
      <c r="I1156"/>
    </row>
    <row r="1157" spans="5:9" x14ac:dyDescent="0.25">
      <c r="E1157"/>
      <c r="F1157" s="131"/>
      <c r="G1157"/>
      <c r="H1157"/>
      <c r="I1157"/>
    </row>
    <row r="1158" spans="5:9" x14ac:dyDescent="0.25">
      <c r="E1158"/>
      <c r="F1158" s="131"/>
      <c r="G1158"/>
      <c r="H1158"/>
      <c r="I1158"/>
    </row>
    <row r="1159" spans="5:9" x14ac:dyDescent="0.25">
      <c r="E1159"/>
      <c r="F1159" s="131"/>
      <c r="G1159"/>
      <c r="H1159"/>
      <c r="I1159"/>
    </row>
    <row r="1160" spans="5:9" x14ac:dyDescent="0.25">
      <c r="E1160"/>
      <c r="F1160" s="131"/>
      <c r="G1160"/>
      <c r="H1160"/>
      <c r="I1160"/>
    </row>
    <row r="1161" spans="5:9" x14ac:dyDescent="0.25">
      <c r="E1161"/>
      <c r="F1161" s="131"/>
      <c r="G1161"/>
      <c r="H1161"/>
      <c r="I1161"/>
    </row>
    <row r="1162" spans="5:9" x14ac:dyDescent="0.25">
      <c r="E1162"/>
      <c r="F1162" s="131"/>
      <c r="G1162"/>
      <c r="H1162"/>
      <c r="I1162"/>
    </row>
    <row r="1163" spans="5:9" x14ac:dyDescent="0.25">
      <c r="E1163"/>
      <c r="F1163" s="131"/>
      <c r="G1163"/>
      <c r="H1163"/>
      <c r="I1163"/>
    </row>
    <row r="1164" spans="5:9" x14ac:dyDescent="0.25">
      <c r="E1164"/>
      <c r="F1164" s="131"/>
      <c r="G1164"/>
      <c r="H1164"/>
      <c r="I1164"/>
    </row>
    <row r="1165" spans="5:9" x14ac:dyDescent="0.25">
      <c r="E1165"/>
      <c r="F1165" s="131"/>
      <c r="G1165"/>
      <c r="H1165"/>
      <c r="I1165"/>
    </row>
    <row r="1166" spans="5:9" x14ac:dyDescent="0.25">
      <c r="E1166"/>
      <c r="F1166" s="131"/>
      <c r="G1166"/>
      <c r="H1166"/>
      <c r="I1166"/>
    </row>
    <row r="1167" spans="5:9" x14ac:dyDescent="0.25">
      <c r="E1167"/>
      <c r="F1167" s="131"/>
      <c r="G1167"/>
      <c r="H1167"/>
      <c r="I1167"/>
    </row>
    <row r="1168" spans="5:9" x14ac:dyDescent="0.25">
      <c r="E1168"/>
      <c r="F1168" s="131"/>
      <c r="G1168"/>
      <c r="H1168"/>
      <c r="I1168"/>
    </row>
    <row r="1169" spans="5:9" x14ac:dyDescent="0.25">
      <c r="E1169"/>
      <c r="F1169" s="131"/>
      <c r="G1169"/>
      <c r="H1169"/>
      <c r="I1169"/>
    </row>
    <row r="1170" spans="5:9" x14ac:dyDescent="0.25">
      <c r="E1170"/>
      <c r="F1170" s="131"/>
      <c r="G1170"/>
      <c r="H1170"/>
      <c r="I1170"/>
    </row>
    <row r="1171" spans="5:9" x14ac:dyDescent="0.25">
      <c r="E1171"/>
      <c r="F1171" s="131"/>
      <c r="G1171"/>
      <c r="H1171"/>
      <c r="I1171"/>
    </row>
    <row r="1172" spans="5:9" x14ac:dyDescent="0.25">
      <c r="E1172"/>
      <c r="F1172" s="131"/>
      <c r="G1172"/>
      <c r="H1172"/>
      <c r="I1172"/>
    </row>
    <row r="1173" spans="5:9" x14ac:dyDescent="0.25">
      <c r="E1173"/>
      <c r="F1173" s="131"/>
      <c r="G1173"/>
      <c r="H1173"/>
      <c r="I1173"/>
    </row>
    <row r="1174" spans="5:9" x14ac:dyDescent="0.25">
      <c r="E1174"/>
      <c r="F1174" s="131"/>
      <c r="G1174"/>
      <c r="H1174"/>
      <c r="I1174"/>
    </row>
    <row r="1175" spans="5:9" x14ac:dyDescent="0.25">
      <c r="E1175"/>
      <c r="F1175" s="131"/>
      <c r="G1175"/>
      <c r="H1175"/>
      <c r="I1175"/>
    </row>
    <row r="1176" spans="5:9" x14ac:dyDescent="0.25">
      <c r="E1176"/>
      <c r="F1176" s="131"/>
      <c r="G1176"/>
      <c r="H1176"/>
      <c r="I1176"/>
    </row>
    <row r="1177" spans="5:9" x14ac:dyDescent="0.25">
      <c r="E1177"/>
      <c r="F1177" s="131"/>
      <c r="G1177"/>
      <c r="H1177"/>
      <c r="I1177"/>
    </row>
    <row r="1178" spans="5:9" x14ac:dyDescent="0.25">
      <c r="E1178"/>
      <c r="F1178" s="131"/>
      <c r="G1178"/>
      <c r="H1178"/>
      <c r="I1178"/>
    </row>
    <row r="1179" spans="5:9" x14ac:dyDescent="0.25">
      <c r="E1179"/>
      <c r="F1179" s="131"/>
      <c r="G1179"/>
      <c r="H1179"/>
      <c r="I1179"/>
    </row>
    <row r="1180" spans="5:9" x14ac:dyDescent="0.25">
      <c r="E1180"/>
      <c r="F1180" s="131"/>
      <c r="G1180"/>
      <c r="H1180"/>
      <c r="I1180"/>
    </row>
  </sheetData>
  <autoFilter ref="A2:BW37"/>
  <mergeCells count="3">
    <mergeCell ref="BX40:BX42"/>
    <mergeCell ref="A1:E1"/>
    <mergeCell ref="D40:E42"/>
  </mergeCells>
  <phoneticPr fontId="3" type="noConversion"/>
  <hyperlinks>
    <hyperlink ref="F1" location="'Index &amp; Instructions'!A1" display="HOME"/>
  </hyperlinks>
  <printOptions horizontalCentered="1"/>
  <pageMargins left="0.34" right="0.21" top="1.1399999999999999" bottom="1.1100000000000001" header="0.27" footer="0.5"/>
  <pageSetup paperSize="17" scale="84" orientation="landscape" r:id="rId1"/>
  <headerFooter alignWithMargins="0">
    <oddFooter>&amp;L&amp;"MS Sans Serif,Italic"&amp;8Oregon Department of Forestry
State Forests Division
Data Source: ODF Historial Files&amp;R&amp;"MS Sans Serif,Italic"&amp;8&amp;Z&amp;F</oddFooter>
  </headerFooter>
  <colBreaks count="2" manualBreakCount="2">
    <brk id="26" min="2" max="36" man="1"/>
    <brk id="48" min="2" max="36"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0"/>
  <sheetViews>
    <sheetView showGridLines="0" workbookViewId="0">
      <selection activeCell="H1" sqref="H1"/>
    </sheetView>
  </sheetViews>
  <sheetFormatPr defaultRowHeight="13.2" x14ac:dyDescent="0.25"/>
  <cols>
    <col min="1" max="1" width="18.88671875" style="1" customWidth="1"/>
    <col min="2" max="2" width="10.6640625" style="1" bestFit="1" customWidth="1"/>
    <col min="3" max="3" width="13.33203125" style="1" bestFit="1" customWidth="1"/>
    <col min="4" max="4" width="9" style="1" customWidth="1"/>
    <col min="5" max="26" width="13.109375" style="1" customWidth="1"/>
    <col min="27" max="27" width="13.109375" style="1" bestFit="1" customWidth="1"/>
    <col min="28" max="66" width="13.109375" style="1" customWidth="1"/>
    <col min="67" max="70" width="13.109375" style="1" bestFit="1" customWidth="1"/>
    <col min="71" max="71" width="11.6640625" style="1" customWidth="1"/>
    <col min="72" max="16384" width="8.88671875" style="1"/>
  </cols>
  <sheetData>
    <row r="1" spans="1:71" ht="21" x14ac:dyDescent="0.4">
      <c r="A1" s="228" t="s">
        <v>513</v>
      </c>
      <c r="H1" s="854" t="s">
        <v>532</v>
      </c>
    </row>
    <row r="3" spans="1:71" x14ac:dyDescent="0.25">
      <c r="A3" s="226" t="s">
        <v>139</v>
      </c>
      <c r="B3" s="226" t="s">
        <v>74</v>
      </c>
      <c r="C3" s="226" t="s">
        <v>72</v>
      </c>
      <c r="D3" s="226" t="s">
        <v>298</v>
      </c>
      <c r="E3" s="227" t="s">
        <v>75</v>
      </c>
      <c r="F3" s="227" t="s">
        <v>76</v>
      </c>
      <c r="G3" s="227" t="s">
        <v>77</v>
      </c>
      <c r="H3" s="227" t="s">
        <v>78</v>
      </c>
      <c r="I3" s="227" t="s">
        <v>83</v>
      </c>
      <c r="J3" s="227" t="s">
        <v>84</v>
      </c>
      <c r="K3" s="227" t="s">
        <v>85</v>
      </c>
      <c r="L3" s="227" t="s">
        <v>86</v>
      </c>
      <c r="M3" s="227" t="s">
        <v>87</v>
      </c>
      <c r="N3" s="227" t="s">
        <v>88</v>
      </c>
      <c r="O3" s="227" t="s">
        <v>89</v>
      </c>
      <c r="P3" s="227" t="s">
        <v>90</v>
      </c>
      <c r="Q3" s="227" t="s">
        <v>91</v>
      </c>
      <c r="R3" s="227" t="s">
        <v>92</v>
      </c>
      <c r="S3" s="227" t="s">
        <v>93</v>
      </c>
      <c r="T3" s="227" t="s">
        <v>94</v>
      </c>
      <c r="U3" s="227" t="s">
        <v>95</v>
      </c>
      <c r="V3" s="227" t="s">
        <v>80</v>
      </c>
      <c r="W3" s="227" t="s">
        <v>96</v>
      </c>
      <c r="X3" s="227" t="s">
        <v>97</v>
      </c>
      <c r="Y3" s="227" t="s">
        <v>98</v>
      </c>
      <c r="Z3" s="227" t="s">
        <v>99</v>
      </c>
      <c r="AA3" s="227" t="s">
        <v>100</v>
      </c>
      <c r="AB3" s="227" t="s">
        <v>101</v>
      </c>
      <c r="AC3" s="227" t="s">
        <v>102</v>
      </c>
      <c r="AD3" s="227" t="s">
        <v>103</v>
      </c>
      <c r="AE3" s="227" t="s">
        <v>104</v>
      </c>
      <c r="AF3" s="227" t="s">
        <v>105</v>
      </c>
      <c r="AG3" s="227" t="s">
        <v>106</v>
      </c>
      <c r="AH3" s="227" t="s">
        <v>107</v>
      </c>
      <c r="AI3" s="227" t="s">
        <v>108</v>
      </c>
      <c r="AJ3" s="227" t="s">
        <v>109</v>
      </c>
      <c r="AK3" s="227" t="s">
        <v>81</v>
      </c>
      <c r="AL3" s="227" t="s">
        <v>82</v>
      </c>
      <c r="AM3" s="227" t="s">
        <v>110</v>
      </c>
      <c r="AN3" s="227" t="s">
        <v>111</v>
      </c>
      <c r="AO3" s="227" t="s">
        <v>112</v>
      </c>
      <c r="AP3" s="227" t="s">
        <v>113</v>
      </c>
      <c r="AQ3" s="227" t="s">
        <v>114</v>
      </c>
      <c r="AR3" s="227" t="s">
        <v>115</v>
      </c>
      <c r="AS3" s="227" t="s">
        <v>116</v>
      </c>
      <c r="AT3" s="227" t="s">
        <v>117</v>
      </c>
      <c r="AU3" s="227" t="s">
        <v>118</v>
      </c>
      <c r="AV3" s="227" t="s">
        <v>119</v>
      </c>
      <c r="AW3" s="227" t="s">
        <v>120</v>
      </c>
      <c r="AX3" s="227" t="s">
        <v>121</v>
      </c>
      <c r="AY3" s="227" t="s">
        <v>122</v>
      </c>
      <c r="AZ3" s="227" t="s">
        <v>123</v>
      </c>
      <c r="BA3" s="227" t="s">
        <v>124</v>
      </c>
      <c r="BB3" s="227" t="s">
        <v>125</v>
      </c>
      <c r="BC3" s="227" t="s">
        <v>126</v>
      </c>
      <c r="BD3" s="227" t="s">
        <v>127</v>
      </c>
      <c r="BE3" s="227" t="s">
        <v>128</v>
      </c>
      <c r="BF3" s="227" t="s">
        <v>129</v>
      </c>
      <c r="BG3" s="227" t="s">
        <v>130</v>
      </c>
      <c r="BH3" s="227" t="s">
        <v>131</v>
      </c>
      <c r="BI3" s="227" t="s">
        <v>132</v>
      </c>
      <c r="BJ3" s="227" t="s">
        <v>133</v>
      </c>
      <c r="BK3" s="227" t="s">
        <v>134</v>
      </c>
      <c r="BL3" s="227" t="s">
        <v>135</v>
      </c>
      <c r="BM3" s="227" t="s">
        <v>188</v>
      </c>
      <c r="BN3" s="227" t="s">
        <v>189</v>
      </c>
      <c r="BO3" s="227" t="s">
        <v>190</v>
      </c>
      <c r="BP3" s="227" t="s">
        <v>194</v>
      </c>
      <c r="BQ3" s="227" t="s">
        <v>196</v>
      </c>
      <c r="BR3" s="227" t="s">
        <v>272</v>
      </c>
      <c r="BS3" s="1" t="s">
        <v>528</v>
      </c>
    </row>
    <row r="4" spans="1:71" x14ac:dyDescent="0.25">
      <c r="A4" s="1" t="s">
        <v>140</v>
      </c>
      <c r="B4" s="1" t="s">
        <v>22</v>
      </c>
      <c r="C4" s="1" t="s">
        <v>44</v>
      </c>
      <c r="D4" s="1">
        <v>80369.509999999995</v>
      </c>
      <c r="E4" s="227">
        <v>17185</v>
      </c>
      <c r="F4" s="227">
        <v>2347</v>
      </c>
      <c r="G4" s="227">
        <v>6272</v>
      </c>
      <c r="H4" s="227">
        <v>1534</v>
      </c>
      <c r="I4" s="227">
        <v>10490</v>
      </c>
      <c r="J4" s="227">
        <v>3300</v>
      </c>
      <c r="K4" s="227">
        <v>4573</v>
      </c>
      <c r="L4" s="227">
        <v>18714</v>
      </c>
      <c r="M4" s="227">
        <v>19500</v>
      </c>
      <c r="N4" s="227">
        <v>9142</v>
      </c>
      <c r="O4" s="227">
        <v>27404</v>
      </c>
      <c r="P4" s="227">
        <v>40648</v>
      </c>
      <c r="Q4" s="227">
        <v>44874</v>
      </c>
      <c r="R4" s="227">
        <v>25217</v>
      </c>
      <c r="S4" s="227">
        <v>39753</v>
      </c>
      <c r="T4" s="227">
        <v>34948</v>
      </c>
      <c r="U4" s="227">
        <v>31430</v>
      </c>
      <c r="V4" s="227">
        <v>25399</v>
      </c>
      <c r="W4" s="227">
        <v>25277</v>
      </c>
      <c r="X4" s="227">
        <v>44579.02</v>
      </c>
      <c r="Y4" s="227">
        <v>32439.55</v>
      </c>
      <c r="Z4" s="227">
        <v>24278.36</v>
      </c>
      <c r="AA4" s="227">
        <v>19443.59</v>
      </c>
      <c r="AB4" s="227">
        <v>54310</v>
      </c>
      <c r="AC4" s="227">
        <v>62988</v>
      </c>
      <c r="AD4" s="227">
        <v>30488</v>
      </c>
      <c r="AE4" s="227">
        <v>27667.67</v>
      </c>
      <c r="AF4" s="227">
        <v>69292.25</v>
      </c>
      <c r="AG4" s="227">
        <v>46125.15</v>
      </c>
      <c r="AH4" s="227">
        <v>55370.27</v>
      </c>
      <c r="AI4" s="227">
        <v>72413.48</v>
      </c>
      <c r="AJ4" s="227">
        <v>60582.9</v>
      </c>
      <c r="AK4" s="227">
        <v>71440.36</v>
      </c>
      <c r="AL4" s="227">
        <v>57767.21</v>
      </c>
      <c r="AM4" s="227">
        <v>75769.952000000005</v>
      </c>
      <c r="AN4" s="227">
        <v>97982</v>
      </c>
      <c r="AO4" s="227">
        <v>84438</v>
      </c>
      <c r="AP4" s="227">
        <v>45498</v>
      </c>
      <c r="AQ4" s="227">
        <v>45094</v>
      </c>
      <c r="AR4" s="227">
        <v>90369</v>
      </c>
      <c r="AS4" s="227">
        <v>37010</v>
      </c>
      <c r="AT4" s="227">
        <v>16070</v>
      </c>
      <c r="AU4" s="227">
        <v>24641</v>
      </c>
      <c r="AV4" s="227">
        <v>27468</v>
      </c>
      <c r="AW4" s="227">
        <v>27527</v>
      </c>
      <c r="AX4" s="227">
        <v>41247</v>
      </c>
      <c r="AY4" s="227">
        <v>40021</v>
      </c>
      <c r="AZ4" s="227">
        <v>32635</v>
      </c>
      <c r="BA4" s="227">
        <v>56150.16</v>
      </c>
      <c r="BB4" s="227">
        <v>29699</v>
      </c>
      <c r="BC4" s="227">
        <v>39585</v>
      </c>
      <c r="BD4" s="227">
        <v>69200</v>
      </c>
      <c r="BE4" s="227">
        <v>71601.61</v>
      </c>
      <c r="BF4" s="227">
        <v>73061</v>
      </c>
      <c r="BG4" s="227">
        <v>132773.69</v>
      </c>
      <c r="BH4" s="227">
        <v>85613.1</v>
      </c>
      <c r="BI4" s="227">
        <v>94989.25</v>
      </c>
      <c r="BJ4" s="227">
        <v>91426.5</v>
      </c>
      <c r="BK4" s="227">
        <v>77779.41</v>
      </c>
      <c r="BL4" s="227">
        <v>89887.73</v>
      </c>
      <c r="BM4" s="227">
        <v>106402</v>
      </c>
      <c r="BN4" s="227">
        <v>83426.640000000014</v>
      </c>
      <c r="BO4" s="227">
        <v>60661</v>
      </c>
      <c r="BP4" s="227">
        <v>60774.02</v>
      </c>
      <c r="BQ4" s="227">
        <v>79259.97</v>
      </c>
      <c r="BR4" s="227">
        <v>54713.88</v>
      </c>
      <c r="BS4" s="3">
        <v>80369.509999999995</v>
      </c>
    </row>
    <row r="5" spans="1:71" x14ac:dyDescent="0.25">
      <c r="B5" s="1" t="s">
        <v>23</v>
      </c>
      <c r="C5" s="1" t="s">
        <v>45</v>
      </c>
      <c r="D5" s="1" t="s">
        <v>527</v>
      </c>
      <c r="E5" s="227"/>
      <c r="F5" s="227">
        <v>36</v>
      </c>
      <c r="G5" s="227"/>
      <c r="H5" s="227">
        <v>5</v>
      </c>
      <c r="I5" s="227"/>
      <c r="J5" s="227"/>
      <c r="K5" s="227"/>
      <c r="L5" s="227">
        <v>200</v>
      </c>
      <c r="M5" s="227"/>
      <c r="N5" s="227"/>
      <c r="O5" s="227"/>
      <c r="P5" s="227">
        <v>62</v>
      </c>
      <c r="Q5" s="227">
        <v>974</v>
      </c>
      <c r="R5" s="227">
        <v>673</v>
      </c>
      <c r="S5" s="227">
        <v>1184</v>
      </c>
      <c r="T5" s="227">
        <v>1786</v>
      </c>
      <c r="U5" s="227">
        <v>2547</v>
      </c>
      <c r="V5" s="227">
        <v>2562</v>
      </c>
      <c r="W5" s="227">
        <v>1179</v>
      </c>
      <c r="X5" s="227">
        <v>1598.33</v>
      </c>
      <c r="Y5" s="227">
        <v>210.41</v>
      </c>
      <c r="Z5" s="227">
        <v>678.53</v>
      </c>
      <c r="AA5" s="227">
        <v>475.87</v>
      </c>
      <c r="AB5" s="227">
        <v>3181</v>
      </c>
      <c r="AC5" s="227">
        <v>7801</v>
      </c>
      <c r="AD5" s="227">
        <v>1228</v>
      </c>
      <c r="AE5" s="227">
        <v>1101.4000000000001</v>
      </c>
      <c r="AF5" s="227">
        <v>2880.48</v>
      </c>
      <c r="AG5" s="227">
        <v>1309.0899999999999</v>
      </c>
      <c r="AH5" s="227">
        <v>3960.06</v>
      </c>
      <c r="AI5" s="227">
        <v>5087.83</v>
      </c>
      <c r="AJ5" s="227">
        <v>2277.52</v>
      </c>
      <c r="AK5" s="227">
        <v>2576.58</v>
      </c>
      <c r="AL5" s="227">
        <v>4158.4799999999996</v>
      </c>
      <c r="AM5" s="227">
        <v>5768.1509999999998</v>
      </c>
      <c r="AN5" s="227">
        <v>3833</v>
      </c>
      <c r="AO5" s="227">
        <v>5091</v>
      </c>
      <c r="AP5" s="227">
        <v>8860</v>
      </c>
      <c r="AQ5" s="227">
        <v>5156</v>
      </c>
      <c r="AR5" s="227">
        <v>6699</v>
      </c>
      <c r="AS5" s="227">
        <v>4588</v>
      </c>
      <c r="AT5" s="227">
        <v>5398</v>
      </c>
      <c r="AU5" s="227"/>
      <c r="AV5" s="227">
        <v>3191</v>
      </c>
      <c r="AW5" s="227">
        <v>5137</v>
      </c>
      <c r="AX5" s="227">
        <v>3200</v>
      </c>
      <c r="AY5" s="227">
        <v>2422</v>
      </c>
      <c r="AZ5" s="227">
        <v>4327</v>
      </c>
      <c r="BA5" s="227">
        <v>5392.78</v>
      </c>
      <c r="BB5" s="227"/>
      <c r="BC5" s="227">
        <v>1559</v>
      </c>
      <c r="BD5" s="227">
        <v>3052</v>
      </c>
      <c r="BE5" s="227">
        <v>1063.94</v>
      </c>
      <c r="BF5" s="227">
        <v>6486</v>
      </c>
      <c r="BG5" s="227">
        <v>2977.94</v>
      </c>
      <c r="BH5" s="227">
        <v>2888.52</v>
      </c>
      <c r="BI5" s="227">
        <v>3606.72</v>
      </c>
      <c r="BJ5" s="227">
        <v>3414.73</v>
      </c>
      <c r="BK5" s="227">
        <v>3345.77</v>
      </c>
      <c r="BL5" s="227">
        <v>6846.46</v>
      </c>
      <c r="BM5" s="227">
        <v>1002</v>
      </c>
      <c r="BN5" s="227">
        <v>7981.84</v>
      </c>
      <c r="BO5" s="227">
        <v>-13</v>
      </c>
      <c r="BP5" s="227">
        <v>0</v>
      </c>
      <c r="BQ5" s="227">
        <v>1732.02</v>
      </c>
      <c r="BR5" s="227">
        <v>558.02</v>
      </c>
      <c r="BS5" s="3"/>
    </row>
    <row r="6" spans="1:71" x14ac:dyDescent="0.25">
      <c r="A6" s="1" t="s">
        <v>299</v>
      </c>
      <c r="E6" s="227">
        <v>17185</v>
      </c>
      <c r="F6" s="227">
        <v>2383</v>
      </c>
      <c r="G6" s="227">
        <v>6272</v>
      </c>
      <c r="H6" s="227">
        <v>1539</v>
      </c>
      <c r="I6" s="227">
        <v>10490</v>
      </c>
      <c r="J6" s="227">
        <v>3300</v>
      </c>
      <c r="K6" s="227">
        <v>4573</v>
      </c>
      <c r="L6" s="227">
        <v>18914</v>
      </c>
      <c r="M6" s="227">
        <v>19500</v>
      </c>
      <c r="N6" s="227">
        <v>9142</v>
      </c>
      <c r="O6" s="227">
        <v>27404</v>
      </c>
      <c r="P6" s="227">
        <v>40710</v>
      </c>
      <c r="Q6" s="227">
        <v>45848</v>
      </c>
      <c r="R6" s="227">
        <v>25890</v>
      </c>
      <c r="S6" s="227">
        <v>40937</v>
      </c>
      <c r="T6" s="227">
        <v>36734</v>
      </c>
      <c r="U6" s="227">
        <v>33977</v>
      </c>
      <c r="V6" s="227">
        <v>27961</v>
      </c>
      <c r="W6" s="227">
        <v>26456</v>
      </c>
      <c r="X6" s="227">
        <v>46177.35</v>
      </c>
      <c r="Y6" s="227">
        <v>32649.96</v>
      </c>
      <c r="Z6" s="227">
        <v>24956.89</v>
      </c>
      <c r="AA6" s="227">
        <v>19919.46</v>
      </c>
      <c r="AB6" s="227">
        <v>57491</v>
      </c>
      <c r="AC6" s="227">
        <v>70789</v>
      </c>
      <c r="AD6" s="227">
        <v>31716</v>
      </c>
      <c r="AE6" s="227">
        <v>28769.07</v>
      </c>
      <c r="AF6" s="227">
        <v>72172.73</v>
      </c>
      <c r="AG6" s="227">
        <v>47434.239999999998</v>
      </c>
      <c r="AH6" s="227">
        <v>59330.329999999994</v>
      </c>
      <c r="AI6" s="227">
        <v>77501.31</v>
      </c>
      <c r="AJ6" s="227">
        <v>62860.42</v>
      </c>
      <c r="AK6" s="227">
        <v>74016.94</v>
      </c>
      <c r="AL6" s="227">
        <v>61925.69</v>
      </c>
      <c r="AM6" s="227">
        <v>81538.103000000003</v>
      </c>
      <c r="AN6" s="227">
        <v>101815</v>
      </c>
      <c r="AO6" s="227">
        <v>89529</v>
      </c>
      <c r="AP6" s="227">
        <v>54358</v>
      </c>
      <c r="AQ6" s="227">
        <v>50250</v>
      </c>
      <c r="AR6" s="227">
        <v>97068</v>
      </c>
      <c r="AS6" s="227">
        <v>41598</v>
      </c>
      <c r="AT6" s="227">
        <v>21468</v>
      </c>
      <c r="AU6" s="227">
        <v>24641</v>
      </c>
      <c r="AV6" s="227">
        <v>30659</v>
      </c>
      <c r="AW6" s="227">
        <v>32664</v>
      </c>
      <c r="AX6" s="227">
        <v>44447</v>
      </c>
      <c r="AY6" s="227">
        <v>42443</v>
      </c>
      <c r="AZ6" s="227">
        <v>36962</v>
      </c>
      <c r="BA6" s="227">
        <v>61542.94</v>
      </c>
      <c r="BB6" s="227">
        <v>29699</v>
      </c>
      <c r="BC6" s="227">
        <v>41144</v>
      </c>
      <c r="BD6" s="227">
        <v>72252</v>
      </c>
      <c r="BE6" s="227">
        <v>72665.55</v>
      </c>
      <c r="BF6" s="227">
        <v>79547</v>
      </c>
      <c r="BG6" s="227">
        <v>135751.63</v>
      </c>
      <c r="BH6" s="227">
        <v>88501.62000000001</v>
      </c>
      <c r="BI6" s="227">
        <v>98595.97</v>
      </c>
      <c r="BJ6" s="227">
        <v>94841.23</v>
      </c>
      <c r="BK6" s="227">
        <v>81125.180000000008</v>
      </c>
      <c r="BL6" s="227">
        <v>96734.19</v>
      </c>
      <c r="BM6" s="227">
        <v>107404</v>
      </c>
      <c r="BN6" s="227">
        <v>91408.48000000001</v>
      </c>
      <c r="BO6" s="227">
        <v>60648</v>
      </c>
      <c r="BP6" s="227">
        <v>60774.02</v>
      </c>
      <c r="BQ6" s="227">
        <v>80991.990000000005</v>
      </c>
      <c r="BR6" s="227">
        <v>55271.899999999994</v>
      </c>
      <c r="BS6" s="3">
        <v>80369.509999999995</v>
      </c>
    </row>
    <row r="7" spans="1:71" x14ac:dyDescent="0.25">
      <c r="A7" s="1" t="s">
        <v>266</v>
      </c>
      <c r="B7" s="1" t="s">
        <v>25</v>
      </c>
      <c r="C7" s="1" t="s">
        <v>46</v>
      </c>
      <c r="D7" s="1">
        <v>2660.57</v>
      </c>
      <c r="E7" s="227"/>
      <c r="F7" s="227">
        <v>678</v>
      </c>
      <c r="G7" s="227"/>
      <c r="H7" s="227"/>
      <c r="I7" s="227">
        <v>109</v>
      </c>
      <c r="J7" s="227">
        <v>297</v>
      </c>
      <c r="K7" s="227">
        <v>730</v>
      </c>
      <c r="L7" s="227">
        <v>243</v>
      </c>
      <c r="M7" s="227">
        <v>878</v>
      </c>
      <c r="N7" s="227">
        <v>579</v>
      </c>
      <c r="O7" s="227">
        <v>10796</v>
      </c>
      <c r="P7" s="227">
        <v>14175</v>
      </c>
      <c r="Q7" s="227">
        <v>27019</v>
      </c>
      <c r="R7" s="227">
        <v>34067</v>
      </c>
      <c r="S7" s="227">
        <v>28642</v>
      </c>
      <c r="T7" s="227">
        <v>53361</v>
      </c>
      <c r="U7" s="227">
        <v>62462</v>
      </c>
      <c r="V7" s="227">
        <v>52446</v>
      </c>
      <c r="W7" s="227">
        <v>28193</v>
      </c>
      <c r="X7" s="227">
        <v>22097.71</v>
      </c>
      <c r="Y7" s="227">
        <v>33046.839999999997</v>
      </c>
      <c r="Z7" s="227">
        <v>41137.279999999999</v>
      </c>
      <c r="AA7" s="227">
        <v>28036.48</v>
      </c>
      <c r="AB7" s="227">
        <v>42296</v>
      </c>
      <c r="AC7" s="227">
        <v>62161</v>
      </c>
      <c r="AD7" s="227">
        <v>61883</v>
      </c>
      <c r="AE7" s="227">
        <v>35636.97</v>
      </c>
      <c r="AF7" s="227">
        <v>23834.54</v>
      </c>
      <c r="AG7" s="227">
        <v>35596.81</v>
      </c>
      <c r="AH7" s="227">
        <v>64904.12</v>
      </c>
      <c r="AI7" s="227">
        <v>50610.74</v>
      </c>
      <c r="AJ7" s="227">
        <v>30074.49</v>
      </c>
      <c r="AK7" s="227">
        <v>36128.959999999999</v>
      </c>
      <c r="AL7" s="227">
        <v>14961.85</v>
      </c>
      <c r="AM7" s="227">
        <v>23158.720000000001</v>
      </c>
      <c r="AN7" s="227">
        <v>16741</v>
      </c>
      <c r="AO7" s="227">
        <v>51919</v>
      </c>
      <c r="AP7" s="227">
        <v>31080</v>
      </c>
      <c r="AQ7" s="227">
        <v>23182</v>
      </c>
      <c r="AR7" s="227">
        <v>18690</v>
      </c>
      <c r="AS7" s="227">
        <v>22005</v>
      </c>
      <c r="AT7" s="227">
        <v>20797</v>
      </c>
      <c r="AU7" s="227">
        <v>11273</v>
      </c>
      <c r="AV7" s="227">
        <v>15524</v>
      </c>
      <c r="AW7" s="227">
        <v>21848</v>
      </c>
      <c r="AX7" s="227">
        <v>16918</v>
      </c>
      <c r="AY7" s="227">
        <v>10151</v>
      </c>
      <c r="AZ7" s="227">
        <v>13827</v>
      </c>
      <c r="BA7" s="227">
        <v>15027.34</v>
      </c>
      <c r="BB7" s="227">
        <v>19688</v>
      </c>
      <c r="BC7" s="227">
        <v>25557</v>
      </c>
      <c r="BD7" s="227">
        <v>35813.29</v>
      </c>
      <c r="BE7" s="227">
        <v>22968.06</v>
      </c>
      <c r="BF7" s="227">
        <v>22848</v>
      </c>
      <c r="BG7" s="227">
        <v>16048.96</v>
      </c>
      <c r="BH7" s="227">
        <v>22341.919999999998</v>
      </c>
      <c r="BI7" s="227">
        <v>28442.69</v>
      </c>
      <c r="BJ7" s="227">
        <v>7859.12</v>
      </c>
      <c r="BK7" s="227">
        <v>16524.670000000002</v>
      </c>
      <c r="BL7" s="227">
        <v>17025.97</v>
      </c>
      <c r="BM7" s="227">
        <v>17015</v>
      </c>
      <c r="BN7" s="227">
        <v>9757.08</v>
      </c>
      <c r="BO7" s="227">
        <v>27000</v>
      </c>
      <c r="BP7" s="227">
        <v>28225.940000000002</v>
      </c>
      <c r="BQ7" s="227">
        <v>4304.3599999999997</v>
      </c>
      <c r="BR7" s="227">
        <v>0</v>
      </c>
      <c r="BS7" s="3">
        <v>2660.57</v>
      </c>
    </row>
    <row r="8" spans="1:71" x14ac:dyDescent="0.25">
      <c r="A8" s="1" t="s">
        <v>300</v>
      </c>
      <c r="E8" s="227"/>
      <c r="F8" s="227">
        <v>678</v>
      </c>
      <c r="G8" s="227"/>
      <c r="H8" s="227"/>
      <c r="I8" s="227">
        <v>109</v>
      </c>
      <c r="J8" s="227">
        <v>297</v>
      </c>
      <c r="K8" s="227">
        <v>730</v>
      </c>
      <c r="L8" s="227">
        <v>243</v>
      </c>
      <c r="M8" s="227">
        <v>878</v>
      </c>
      <c r="N8" s="227">
        <v>579</v>
      </c>
      <c r="O8" s="227">
        <v>10796</v>
      </c>
      <c r="P8" s="227">
        <v>14175</v>
      </c>
      <c r="Q8" s="227">
        <v>27019</v>
      </c>
      <c r="R8" s="227">
        <v>34067</v>
      </c>
      <c r="S8" s="227">
        <v>28642</v>
      </c>
      <c r="T8" s="227">
        <v>53361</v>
      </c>
      <c r="U8" s="227">
        <v>62462</v>
      </c>
      <c r="V8" s="227">
        <v>52446</v>
      </c>
      <c r="W8" s="227">
        <v>28193</v>
      </c>
      <c r="X8" s="227">
        <v>22097.71</v>
      </c>
      <c r="Y8" s="227">
        <v>33046.839999999997</v>
      </c>
      <c r="Z8" s="227">
        <v>41137.279999999999</v>
      </c>
      <c r="AA8" s="227">
        <v>28036.48</v>
      </c>
      <c r="AB8" s="227">
        <v>42296</v>
      </c>
      <c r="AC8" s="227">
        <v>62161</v>
      </c>
      <c r="AD8" s="227">
        <v>61883</v>
      </c>
      <c r="AE8" s="227">
        <v>35636.97</v>
      </c>
      <c r="AF8" s="227">
        <v>23834.54</v>
      </c>
      <c r="AG8" s="227">
        <v>35596.81</v>
      </c>
      <c r="AH8" s="227">
        <v>64904.12</v>
      </c>
      <c r="AI8" s="227">
        <v>50610.74</v>
      </c>
      <c r="AJ8" s="227">
        <v>30074.49</v>
      </c>
      <c r="AK8" s="227">
        <v>36128.959999999999</v>
      </c>
      <c r="AL8" s="227">
        <v>14961.85</v>
      </c>
      <c r="AM8" s="227">
        <v>23158.720000000001</v>
      </c>
      <c r="AN8" s="227">
        <v>16741</v>
      </c>
      <c r="AO8" s="227">
        <v>51919</v>
      </c>
      <c r="AP8" s="227">
        <v>31080</v>
      </c>
      <c r="AQ8" s="227">
        <v>23182</v>
      </c>
      <c r="AR8" s="227">
        <v>18690</v>
      </c>
      <c r="AS8" s="227">
        <v>22005</v>
      </c>
      <c r="AT8" s="227">
        <v>20797</v>
      </c>
      <c r="AU8" s="227">
        <v>11273</v>
      </c>
      <c r="AV8" s="227">
        <v>15524</v>
      </c>
      <c r="AW8" s="227">
        <v>21848</v>
      </c>
      <c r="AX8" s="227">
        <v>16918</v>
      </c>
      <c r="AY8" s="227">
        <v>10151</v>
      </c>
      <c r="AZ8" s="227">
        <v>13827</v>
      </c>
      <c r="BA8" s="227">
        <v>15027.34</v>
      </c>
      <c r="BB8" s="227">
        <v>19688</v>
      </c>
      <c r="BC8" s="227">
        <v>25557</v>
      </c>
      <c r="BD8" s="227">
        <v>35813.29</v>
      </c>
      <c r="BE8" s="227">
        <v>22968.06</v>
      </c>
      <c r="BF8" s="227">
        <v>22848</v>
      </c>
      <c r="BG8" s="227">
        <v>16048.96</v>
      </c>
      <c r="BH8" s="227">
        <v>22341.919999999998</v>
      </c>
      <c r="BI8" s="227">
        <v>28442.69</v>
      </c>
      <c r="BJ8" s="227">
        <v>7859.12</v>
      </c>
      <c r="BK8" s="227">
        <v>16524.670000000002</v>
      </c>
      <c r="BL8" s="227">
        <v>17025.97</v>
      </c>
      <c r="BM8" s="227">
        <v>17015</v>
      </c>
      <c r="BN8" s="227">
        <v>9757.08</v>
      </c>
      <c r="BO8" s="227">
        <v>27000</v>
      </c>
      <c r="BP8" s="227">
        <v>28225.940000000002</v>
      </c>
      <c r="BQ8" s="227">
        <v>4304.3599999999997</v>
      </c>
      <c r="BR8" s="227">
        <v>0</v>
      </c>
      <c r="BS8" s="3">
        <v>2660.57</v>
      </c>
    </row>
    <row r="9" spans="1:71" x14ac:dyDescent="0.25">
      <c r="A9" s="1" t="s">
        <v>141</v>
      </c>
      <c r="B9" s="1" t="s">
        <v>23</v>
      </c>
      <c r="C9" s="1" t="s">
        <v>58</v>
      </c>
      <c r="D9" s="1">
        <v>47267.94</v>
      </c>
      <c r="E9" s="227">
        <v>110556</v>
      </c>
      <c r="F9" s="227">
        <v>100268</v>
      </c>
      <c r="G9" s="227">
        <v>91316</v>
      </c>
      <c r="H9" s="227">
        <v>50073</v>
      </c>
      <c r="I9" s="227">
        <v>50091</v>
      </c>
      <c r="J9" s="227">
        <v>30016</v>
      </c>
      <c r="K9" s="227">
        <v>51445</v>
      </c>
      <c r="L9" s="227">
        <v>35000</v>
      </c>
      <c r="M9" s="227">
        <v>35000</v>
      </c>
      <c r="N9" s="227">
        <v>632</v>
      </c>
      <c r="O9" s="227">
        <v>1864</v>
      </c>
      <c r="P9" s="227">
        <v>728</v>
      </c>
      <c r="Q9" s="227">
        <v>1605</v>
      </c>
      <c r="R9" s="227">
        <v>2989</v>
      </c>
      <c r="S9" s="227">
        <v>2142</v>
      </c>
      <c r="T9" s="227">
        <v>1822</v>
      </c>
      <c r="U9" s="227">
        <v>2630</v>
      </c>
      <c r="V9" s="227">
        <v>830</v>
      </c>
      <c r="W9" s="227">
        <v>171</v>
      </c>
      <c r="X9" s="227">
        <v>291.77</v>
      </c>
      <c r="Y9" s="227">
        <v>1020.95</v>
      </c>
      <c r="Z9" s="227">
        <v>3013.76</v>
      </c>
      <c r="AA9" s="227">
        <v>407.63</v>
      </c>
      <c r="AB9" s="227">
        <v>1440</v>
      </c>
      <c r="AC9" s="227">
        <v>2052</v>
      </c>
      <c r="AD9" s="227">
        <v>8169</v>
      </c>
      <c r="AE9" s="227">
        <v>1054.48</v>
      </c>
      <c r="AF9" s="227">
        <v>792.41</v>
      </c>
      <c r="AG9" s="227">
        <v>4988.28</v>
      </c>
      <c r="AH9" s="227">
        <v>2065.3000000000002</v>
      </c>
      <c r="AI9" s="227">
        <v>4145.45</v>
      </c>
      <c r="AJ9" s="227">
        <v>513.15</v>
      </c>
      <c r="AK9" s="227">
        <v>4148.8500000000004</v>
      </c>
      <c r="AL9" s="227">
        <v>8105.22</v>
      </c>
      <c r="AM9" s="227">
        <v>11062.842000000001</v>
      </c>
      <c r="AN9" s="227">
        <v>22756</v>
      </c>
      <c r="AO9" s="227">
        <v>3359</v>
      </c>
      <c r="AP9" s="227">
        <v>3303</v>
      </c>
      <c r="AQ9" s="227">
        <v>4116</v>
      </c>
      <c r="AR9" s="227">
        <v>17</v>
      </c>
      <c r="AS9" s="227">
        <v>61</v>
      </c>
      <c r="AT9" s="227">
        <v>2320</v>
      </c>
      <c r="AU9" s="227">
        <v>1172</v>
      </c>
      <c r="AV9" s="227">
        <v>2963</v>
      </c>
      <c r="AW9" s="227">
        <v>1688</v>
      </c>
      <c r="AX9" s="227">
        <v>1881</v>
      </c>
      <c r="AY9" s="227">
        <v>5159</v>
      </c>
      <c r="AZ9" s="227">
        <v>13275</v>
      </c>
      <c r="BA9" s="227">
        <v>14922.83</v>
      </c>
      <c r="BB9" s="227">
        <v>6369.97</v>
      </c>
      <c r="BC9" s="227">
        <v>11200</v>
      </c>
      <c r="BD9" s="227">
        <v>22774</v>
      </c>
      <c r="BE9" s="227">
        <v>21658</v>
      </c>
      <c r="BF9" s="227">
        <v>28468</v>
      </c>
      <c r="BG9" s="227">
        <v>10342.35</v>
      </c>
      <c r="BH9" s="227">
        <v>35082.83</v>
      </c>
      <c r="BI9" s="227">
        <v>11813.57</v>
      </c>
      <c r="BJ9" s="227">
        <v>24613.37</v>
      </c>
      <c r="BK9" s="227">
        <v>30364.74</v>
      </c>
      <c r="BL9" s="227">
        <v>26718.25</v>
      </c>
      <c r="BM9" s="227">
        <v>16801</v>
      </c>
      <c r="BN9" s="227">
        <v>43708.31</v>
      </c>
      <c r="BO9" s="227">
        <v>47440</v>
      </c>
      <c r="BP9" s="227">
        <v>31701.06</v>
      </c>
      <c r="BQ9" s="227">
        <v>26254.82</v>
      </c>
      <c r="BR9" s="227">
        <v>43717.43</v>
      </c>
      <c r="BS9" s="3">
        <v>47267.94</v>
      </c>
    </row>
    <row r="10" spans="1:71" x14ac:dyDescent="0.25">
      <c r="C10" s="1" t="s">
        <v>59</v>
      </c>
      <c r="D10" s="1" t="s">
        <v>527</v>
      </c>
      <c r="E10" s="227"/>
      <c r="F10" s="227"/>
      <c r="G10" s="227"/>
      <c r="H10" s="227"/>
      <c r="I10" s="227"/>
      <c r="J10" s="227"/>
      <c r="K10" s="227"/>
      <c r="L10" s="227"/>
      <c r="M10" s="227"/>
      <c r="N10" s="227"/>
      <c r="O10" s="227"/>
      <c r="P10" s="227"/>
      <c r="Q10" s="227"/>
      <c r="R10" s="227"/>
      <c r="S10" s="227"/>
      <c r="T10" s="227">
        <v>468</v>
      </c>
      <c r="U10" s="227"/>
      <c r="V10" s="227">
        <v>117</v>
      </c>
      <c r="W10" s="227"/>
      <c r="X10" s="227">
        <v>145.63</v>
      </c>
      <c r="Y10" s="227">
        <v>419.16</v>
      </c>
      <c r="Z10" s="227"/>
      <c r="AA10" s="227"/>
      <c r="AB10" s="227">
        <v>17</v>
      </c>
      <c r="AC10" s="227"/>
      <c r="AD10" s="227"/>
      <c r="AE10" s="227"/>
      <c r="AF10" s="227"/>
      <c r="AG10" s="227"/>
      <c r="AH10" s="227"/>
      <c r="AI10" s="227"/>
      <c r="AJ10" s="227"/>
      <c r="AK10" s="227">
        <v>4284</v>
      </c>
      <c r="AL10" s="227">
        <v>0</v>
      </c>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v>0</v>
      </c>
      <c r="BQ10" s="227">
        <v>0</v>
      </c>
      <c r="BR10" s="227">
        <v>0</v>
      </c>
      <c r="BS10" s="3"/>
    </row>
    <row r="11" spans="1:71" x14ac:dyDescent="0.25">
      <c r="B11" s="1" t="s">
        <v>138</v>
      </c>
      <c r="C11" s="1" t="s">
        <v>57</v>
      </c>
      <c r="D11" s="1">
        <v>79434.490000000005</v>
      </c>
      <c r="E11" s="227">
        <v>630327</v>
      </c>
      <c r="F11" s="227">
        <v>707702</v>
      </c>
      <c r="G11" s="227">
        <v>594651</v>
      </c>
      <c r="H11" s="227">
        <v>543091</v>
      </c>
      <c r="I11" s="227">
        <v>452075</v>
      </c>
      <c r="J11" s="227">
        <v>406126</v>
      </c>
      <c r="K11" s="227">
        <v>370907</v>
      </c>
      <c r="L11" s="227">
        <v>285616</v>
      </c>
      <c r="M11" s="227">
        <v>223222</v>
      </c>
      <c r="N11" s="227">
        <v>74663</v>
      </c>
      <c r="O11" s="227">
        <v>61791</v>
      </c>
      <c r="P11" s="227">
        <v>73053</v>
      </c>
      <c r="Q11" s="227">
        <v>55903</v>
      </c>
      <c r="R11" s="227">
        <v>51474</v>
      </c>
      <c r="S11" s="227">
        <v>63603</v>
      </c>
      <c r="T11" s="227">
        <v>61008</v>
      </c>
      <c r="U11" s="227">
        <v>38594</v>
      </c>
      <c r="V11" s="227">
        <v>32399</v>
      </c>
      <c r="W11" s="227">
        <v>33182</v>
      </c>
      <c r="X11" s="227">
        <v>49745.279999999999</v>
      </c>
      <c r="Y11" s="227">
        <v>43504.87</v>
      </c>
      <c r="Z11" s="227">
        <v>29570.38</v>
      </c>
      <c r="AA11" s="227">
        <v>28260.04</v>
      </c>
      <c r="AB11" s="227">
        <v>36095</v>
      </c>
      <c r="AC11" s="227">
        <v>58362</v>
      </c>
      <c r="AD11" s="227">
        <v>31876</v>
      </c>
      <c r="AE11" s="227">
        <v>34301.01</v>
      </c>
      <c r="AF11" s="227">
        <v>24458.880000000001</v>
      </c>
      <c r="AG11" s="227">
        <v>41156.42</v>
      </c>
      <c r="AH11" s="227">
        <v>14764.11</v>
      </c>
      <c r="AI11" s="227">
        <v>27210.93</v>
      </c>
      <c r="AJ11" s="227">
        <v>28904.91</v>
      </c>
      <c r="AK11" s="227">
        <v>37026.68</v>
      </c>
      <c r="AL11" s="227">
        <v>23086.17</v>
      </c>
      <c r="AM11" s="227">
        <v>51593.845999999998</v>
      </c>
      <c r="AN11" s="227">
        <v>26875</v>
      </c>
      <c r="AO11" s="227">
        <v>29741</v>
      </c>
      <c r="AP11" s="227">
        <v>29487</v>
      </c>
      <c r="AQ11" s="227">
        <v>20427</v>
      </c>
      <c r="AR11" s="227">
        <v>51991</v>
      </c>
      <c r="AS11" s="227">
        <v>31464</v>
      </c>
      <c r="AT11" s="227">
        <v>19050</v>
      </c>
      <c r="AU11" s="227">
        <v>21454</v>
      </c>
      <c r="AV11" s="227">
        <v>27803</v>
      </c>
      <c r="AW11" s="227">
        <v>18938</v>
      </c>
      <c r="AX11" s="227">
        <v>22744</v>
      </c>
      <c r="AY11" s="227">
        <v>21832</v>
      </c>
      <c r="AZ11" s="227">
        <v>18867</v>
      </c>
      <c r="BA11" s="227">
        <v>42066.04</v>
      </c>
      <c r="BB11" s="227">
        <v>36524.94</v>
      </c>
      <c r="BC11" s="227">
        <v>51917</v>
      </c>
      <c r="BD11" s="227">
        <v>69217</v>
      </c>
      <c r="BE11" s="227">
        <v>56053.070000000007</v>
      </c>
      <c r="BF11" s="227">
        <v>67329</v>
      </c>
      <c r="BG11" s="227">
        <v>58782.659999999996</v>
      </c>
      <c r="BH11" s="227">
        <v>70707.820000000007</v>
      </c>
      <c r="BI11" s="227">
        <v>93136.95</v>
      </c>
      <c r="BJ11" s="227">
        <v>105518.53</v>
      </c>
      <c r="BK11" s="227">
        <v>85512.463000000003</v>
      </c>
      <c r="BL11" s="227">
        <v>71059.69</v>
      </c>
      <c r="BM11" s="227">
        <v>70271</v>
      </c>
      <c r="BN11" s="227">
        <v>80991.11</v>
      </c>
      <c r="BO11" s="227">
        <v>67899</v>
      </c>
      <c r="BP11" s="227">
        <v>60974.44</v>
      </c>
      <c r="BQ11" s="227">
        <v>80652.25</v>
      </c>
      <c r="BR11" s="227">
        <v>78176.290000000008</v>
      </c>
      <c r="BS11" s="3">
        <v>79434.490000000005</v>
      </c>
    </row>
    <row r="12" spans="1:71" x14ac:dyDescent="0.25">
      <c r="A12" s="1" t="s">
        <v>301</v>
      </c>
      <c r="E12" s="227">
        <v>740883</v>
      </c>
      <c r="F12" s="227">
        <v>807970</v>
      </c>
      <c r="G12" s="227">
        <v>685967</v>
      </c>
      <c r="H12" s="227">
        <v>593164</v>
      </c>
      <c r="I12" s="227">
        <v>502166</v>
      </c>
      <c r="J12" s="227">
        <v>436142</v>
      </c>
      <c r="K12" s="227">
        <v>422352</v>
      </c>
      <c r="L12" s="227">
        <v>320616</v>
      </c>
      <c r="M12" s="227">
        <v>258222</v>
      </c>
      <c r="N12" s="227">
        <v>75295</v>
      </c>
      <c r="O12" s="227">
        <v>63655</v>
      </c>
      <c r="P12" s="227">
        <v>73781</v>
      </c>
      <c r="Q12" s="227">
        <v>57508</v>
      </c>
      <c r="R12" s="227">
        <v>54463</v>
      </c>
      <c r="S12" s="227">
        <v>65745</v>
      </c>
      <c r="T12" s="227">
        <v>63298</v>
      </c>
      <c r="U12" s="227">
        <v>41224</v>
      </c>
      <c r="V12" s="227">
        <v>33346</v>
      </c>
      <c r="W12" s="227">
        <v>33353</v>
      </c>
      <c r="X12" s="227">
        <v>50182.68</v>
      </c>
      <c r="Y12" s="227">
        <v>44944.98</v>
      </c>
      <c r="Z12" s="227">
        <v>32584.14</v>
      </c>
      <c r="AA12" s="227">
        <v>28667.670000000002</v>
      </c>
      <c r="AB12" s="227">
        <v>37552</v>
      </c>
      <c r="AC12" s="227">
        <v>60414</v>
      </c>
      <c r="AD12" s="227">
        <v>40045</v>
      </c>
      <c r="AE12" s="227">
        <v>35355.490000000005</v>
      </c>
      <c r="AF12" s="227">
        <v>25251.29</v>
      </c>
      <c r="AG12" s="227">
        <v>46144.7</v>
      </c>
      <c r="AH12" s="227">
        <v>16829.41</v>
      </c>
      <c r="AI12" s="227">
        <v>31356.38</v>
      </c>
      <c r="AJ12" s="227">
        <v>29418.06</v>
      </c>
      <c r="AK12" s="227">
        <v>45459.53</v>
      </c>
      <c r="AL12" s="227">
        <v>31191.39</v>
      </c>
      <c r="AM12" s="227">
        <v>62656.687999999995</v>
      </c>
      <c r="AN12" s="227">
        <v>49631</v>
      </c>
      <c r="AO12" s="227">
        <v>33100</v>
      </c>
      <c r="AP12" s="227">
        <v>32790</v>
      </c>
      <c r="AQ12" s="227">
        <v>24543</v>
      </c>
      <c r="AR12" s="227">
        <v>52008</v>
      </c>
      <c r="AS12" s="227">
        <v>31525</v>
      </c>
      <c r="AT12" s="227">
        <v>21370</v>
      </c>
      <c r="AU12" s="227">
        <v>22626</v>
      </c>
      <c r="AV12" s="227">
        <v>30766</v>
      </c>
      <c r="AW12" s="227">
        <v>20626</v>
      </c>
      <c r="AX12" s="227">
        <v>24625</v>
      </c>
      <c r="AY12" s="227">
        <v>26991</v>
      </c>
      <c r="AZ12" s="227">
        <v>32142</v>
      </c>
      <c r="BA12" s="227">
        <v>56988.87</v>
      </c>
      <c r="BB12" s="227">
        <v>42894.91</v>
      </c>
      <c r="BC12" s="227">
        <v>63117</v>
      </c>
      <c r="BD12" s="227">
        <v>91991</v>
      </c>
      <c r="BE12" s="227">
        <v>77711.070000000007</v>
      </c>
      <c r="BF12" s="227">
        <v>95797</v>
      </c>
      <c r="BG12" s="227">
        <v>69125.009999999995</v>
      </c>
      <c r="BH12" s="227">
        <v>105790.65000000001</v>
      </c>
      <c r="BI12" s="227">
        <v>104950.51999999999</v>
      </c>
      <c r="BJ12" s="227">
        <v>130131.9</v>
      </c>
      <c r="BK12" s="227">
        <v>115877.20300000001</v>
      </c>
      <c r="BL12" s="227">
        <v>97777.94</v>
      </c>
      <c r="BM12" s="227">
        <v>87072</v>
      </c>
      <c r="BN12" s="227">
        <v>124699.42</v>
      </c>
      <c r="BO12" s="227">
        <v>115339</v>
      </c>
      <c r="BP12" s="227">
        <v>92675.5</v>
      </c>
      <c r="BQ12" s="227">
        <v>106907.07</v>
      </c>
      <c r="BR12" s="227">
        <v>121893.72</v>
      </c>
      <c r="BS12" s="3">
        <v>126702.43000000001</v>
      </c>
    </row>
    <row r="13" spans="1:71" x14ac:dyDescent="0.25">
      <c r="A13" s="1" t="s">
        <v>79</v>
      </c>
      <c r="E13" s="227">
        <v>758068</v>
      </c>
      <c r="F13" s="227">
        <v>811031</v>
      </c>
      <c r="G13" s="227">
        <v>692239</v>
      </c>
      <c r="H13" s="227">
        <v>594703</v>
      </c>
      <c r="I13" s="227">
        <v>512765</v>
      </c>
      <c r="J13" s="227">
        <v>439739</v>
      </c>
      <c r="K13" s="227">
        <v>427655</v>
      </c>
      <c r="L13" s="227">
        <v>339773</v>
      </c>
      <c r="M13" s="227">
        <v>278600</v>
      </c>
      <c r="N13" s="227">
        <v>85016</v>
      </c>
      <c r="O13" s="227">
        <v>101855</v>
      </c>
      <c r="P13" s="227">
        <v>128666</v>
      </c>
      <c r="Q13" s="227">
        <v>130375</v>
      </c>
      <c r="R13" s="227">
        <v>114420</v>
      </c>
      <c r="S13" s="227">
        <v>135324</v>
      </c>
      <c r="T13" s="227">
        <v>153393</v>
      </c>
      <c r="U13" s="227">
        <v>137663</v>
      </c>
      <c r="V13" s="227">
        <v>113753</v>
      </c>
      <c r="W13" s="227">
        <v>88002</v>
      </c>
      <c r="X13" s="227">
        <v>118457.74</v>
      </c>
      <c r="Y13" s="227">
        <v>110641.78</v>
      </c>
      <c r="Z13" s="227">
        <v>98678.31</v>
      </c>
      <c r="AA13" s="227">
        <v>76623.61</v>
      </c>
      <c r="AB13" s="227">
        <v>137339</v>
      </c>
      <c r="AC13" s="227">
        <v>193364</v>
      </c>
      <c r="AD13" s="227">
        <v>133644</v>
      </c>
      <c r="AE13" s="227">
        <v>99761.53</v>
      </c>
      <c r="AF13" s="227">
        <v>121258.56</v>
      </c>
      <c r="AG13" s="227">
        <v>129175.74999999999</v>
      </c>
      <c r="AH13" s="227">
        <v>141063.85999999999</v>
      </c>
      <c r="AI13" s="227">
        <v>159468.43</v>
      </c>
      <c r="AJ13" s="227">
        <v>122352.97</v>
      </c>
      <c r="AK13" s="227">
        <v>155605.43</v>
      </c>
      <c r="AL13" s="227">
        <v>108078.93000000001</v>
      </c>
      <c r="AM13" s="227">
        <v>167353.511</v>
      </c>
      <c r="AN13" s="227">
        <v>168187</v>
      </c>
      <c r="AO13" s="227">
        <v>174548</v>
      </c>
      <c r="AP13" s="227">
        <v>118228</v>
      </c>
      <c r="AQ13" s="227">
        <v>97975</v>
      </c>
      <c r="AR13" s="227">
        <v>167766</v>
      </c>
      <c r="AS13" s="227">
        <v>95128</v>
      </c>
      <c r="AT13" s="227">
        <v>63635</v>
      </c>
      <c r="AU13" s="227">
        <v>58540</v>
      </c>
      <c r="AV13" s="227">
        <v>76949</v>
      </c>
      <c r="AW13" s="227">
        <v>75138</v>
      </c>
      <c r="AX13" s="227">
        <v>85990</v>
      </c>
      <c r="AY13" s="227">
        <v>79585</v>
      </c>
      <c r="AZ13" s="227">
        <v>82931</v>
      </c>
      <c r="BA13" s="227">
        <v>133559.15</v>
      </c>
      <c r="BB13" s="227">
        <v>92281.91</v>
      </c>
      <c r="BC13" s="227">
        <v>129818</v>
      </c>
      <c r="BD13" s="227">
        <v>200056.29</v>
      </c>
      <c r="BE13" s="227">
        <v>173344.68</v>
      </c>
      <c r="BF13" s="227">
        <v>198192</v>
      </c>
      <c r="BG13" s="227">
        <v>220925.6</v>
      </c>
      <c r="BH13" s="227">
        <v>216634.19</v>
      </c>
      <c r="BI13" s="227">
        <v>231989.18</v>
      </c>
      <c r="BJ13" s="227">
        <v>232832.25</v>
      </c>
      <c r="BK13" s="227">
        <v>213527.05300000001</v>
      </c>
      <c r="BL13" s="227">
        <v>211538.1</v>
      </c>
      <c r="BM13" s="227">
        <v>211491</v>
      </c>
      <c r="BN13" s="227">
        <v>225864.97999999998</v>
      </c>
      <c r="BO13" s="227">
        <v>202987</v>
      </c>
      <c r="BP13" s="227">
        <v>181675.46</v>
      </c>
      <c r="BQ13" s="227">
        <v>192203.42</v>
      </c>
      <c r="BR13" s="227">
        <v>177165.62</v>
      </c>
      <c r="BS13" s="3">
        <v>209732.51</v>
      </c>
    </row>
    <row r="14" spans="1:71"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1"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1" x14ac:dyDescent="0.25">
      <c r="A16"/>
      <c r="B16"/>
      <c r="C16"/>
      <c r="D16"/>
      <c r="E16"/>
      <c r="F16"/>
      <c r="G16"/>
      <c r="H16"/>
      <c r="I16"/>
      <c r="J16"/>
      <c r="K16"/>
      <c r="L16"/>
      <c r="M16"/>
      <c r="N16"/>
      <c r="O16"/>
      <c r="P16"/>
      <c r="Q16"/>
      <c r="R16"/>
      <c r="S16"/>
      <c r="T16"/>
      <c r="U16"/>
      <c r="V16"/>
      <c r="W16"/>
      <c r="X16"/>
      <c r="Y16"/>
      <c r="Z16"/>
      <c r="AA16"/>
      <c r="AB16"/>
      <c r="AC16"/>
      <c r="AD16"/>
      <c r="AE16"/>
    </row>
    <row r="17" spans="1:31" x14ac:dyDescent="0.25">
      <c r="A17"/>
      <c r="B17"/>
      <c r="C17"/>
      <c r="D17"/>
      <c r="E17"/>
      <c r="F17"/>
      <c r="G17"/>
      <c r="H17"/>
      <c r="I17"/>
      <c r="J17"/>
      <c r="K17"/>
      <c r="L17"/>
      <c r="M17"/>
      <c r="N17"/>
      <c r="O17"/>
      <c r="P17"/>
      <c r="Q17"/>
      <c r="R17"/>
      <c r="S17"/>
      <c r="T17"/>
      <c r="U17"/>
      <c r="V17"/>
      <c r="W17"/>
      <c r="X17"/>
      <c r="Y17"/>
      <c r="Z17"/>
      <c r="AA17"/>
      <c r="AB17"/>
      <c r="AC17"/>
      <c r="AD17"/>
      <c r="AE17"/>
    </row>
    <row r="18" spans="1:31" x14ac:dyDescent="0.25">
      <c r="A18"/>
      <c r="B18"/>
      <c r="C18"/>
      <c r="D18"/>
      <c r="E18"/>
      <c r="F18"/>
      <c r="G18"/>
      <c r="H18"/>
      <c r="I18"/>
      <c r="J18"/>
      <c r="K18"/>
      <c r="L18"/>
      <c r="M18"/>
      <c r="N18"/>
      <c r="O18"/>
      <c r="P18"/>
      <c r="Q18"/>
      <c r="R18"/>
      <c r="S18"/>
      <c r="T18"/>
      <c r="U18"/>
      <c r="V18"/>
      <c r="W18"/>
      <c r="X18"/>
      <c r="Y18"/>
      <c r="Z18"/>
      <c r="AA18"/>
      <c r="AB18"/>
      <c r="AC18"/>
      <c r="AD18"/>
      <c r="AE18"/>
    </row>
    <row r="19" spans="1:31" x14ac:dyDescent="0.25">
      <c r="A19"/>
      <c r="B19"/>
      <c r="C19"/>
      <c r="D19"/>
      <c r="E19"/>
      <c r="F19"/>
      <c r="G19"/>
      <c r="H19"/>
      <c r="I19"/>
      <c r="J19"/>
      <c r="K19"/>
      <c r="L19"/>
      <c r="M19"/>
      <c r="N19"/>
      <c r="O19"/>
      <c r="P19"/>
      <c r="Q19"/>
      <c r="R19"/>
      <c r="S19"/>
      <c r="T19"/>
      <c r="U19"/>
      <c r="V19"/>
      <c r="W19"/>
      <c r="X19"/>
      <c r="Y19"/>
      <c r="Z19"/>
      <c r="AA19"/>
      <c r="AB19"/>
      <c r="AC19"/>
      <c r="AD19"/>
      <c r="AE19"/>
    </row>
    <row r="20" spans="1:31" x14ac:dyDescent="0.25">
      <c r="A20"/>
      <c r="B20"/>
      <c r="C20"/>
      <c r="D20"/>
      <c r="E20"/>
      <c r="F20"/>
      <c r="G20"/>
      <c r="H20"/>
      <c r="I20"/>
      <c r="J20"/>
      <c r="K20"/>
      <c r="L20"/>
      <c r="M20"/>
      <c r="N20"/>
      <c r="O20"/>
      <c r="P20"/>
      <c r="Q20"/>
      <c r="R20"/>
      <c r="S20"/>
      <c r="T20"/>
      <c r="U20"/>
      <c r="V20"/>
      <c r="W20"/>
      <c r="X20"/>
      <c r="Y20"/>
      <c r="Z20"/>
      <c r="AA20"/>
      <c r="AB20"/>
      <c r="AC20"/>
      <c r="AD20"/>
      <c r="AE20"/>
    </row>
    <row r="21" spans="1:31" x14ac:dyDescent="0.25">
      <c r="A21"/>
      <c r="B21"/>
      <c r="C21"/>
      <c r="D21"/>
      <c r="E21"/>
      <c r="F21"/>
      <c r="G21"/>
      <c r="H21"/>
      <c r="I21"/>
      <c r="J21"/>
      <c r="K21"/>
      <c r="L21"/>
      <c r="M21"/>
      <c r="N21"/>
      <c r="O21"/>
      <c r="P21"/>
      <c r="Q21"/>
      <c r="R21"/>
      <c r="S21"/>
      <c r="T21"/>
      <c r="U21"/>
      <c r="V21"/>
      <c r="W21"/>
      <c r="X21"/>
      <c r="Y21"/>
      <c r="Z21"/>
      <c r="AA21"/>
      <c r="AB21"/>
      <c r="AC21"/>
      <c r="AD21"/>
      <c r="AE21"/>
    </row>
    <row r="22" spans="1:31" x14ac:dyDescent="0.25">
      <c r="A22"/>
      <c r="B22"/>
      <c r="C22"/>
      <c r="D22"/>
      <c r="E22"/>
      <c r="F22"/>
      <c r="G22"/>
      <c r="H22"/>
      <c r="I22"/>
      <c r="J22"/>
      <c r="K22"/>
      <c r="L22"/>
      <c r="M22"/>
      <c r="N22"/>
      <c r="O22"/>
      <c r="P22"/>
      <c r="Q22"/>
      <c r="R22"/>
      <c r="S22"/>
      <c r="T22"/>
      <c r="U22"/>
      <c r="V22"/>
      <c r="W22"/>
      <c r="X22"/>
      <c r="Y22"/>
      <c r="Z22"/>
      <c r="AA22"/>
      <c r="AB22"/>
      <c r="AC22"/>
      <c r="AD22"/>
      <c r="AE22"/>
    </row>
    <row r="23" spans="1:31" x14ac:dyDescent="0.25">
      <c r="A23"/>
      <c r="B23"/>
      <c r="C23"/>
      <c r="D23"/>
      <c r="E23"/>
      <c r="F23"/>
      <c r="G23"/>
      <c r="H23"/>
      <c r="I23"/>
      <c r="J23"/>
      <c r="K23"/>
      <c r="L23"/>
      <c r="M23"/>
      <c r="N23"/>
      <c r="O23"/>
      <c r="P23"/>
      <c r="Q23"/>
      <c r="R23"/>
      <c r="S23"/>
      <c r="T23"/>
      <c r="U23"/>
      <c r="V23"/>
      <c r="W23"/>
      <c r="X23"/>
      <c r="Y23"/>
      <c r="Z23"/>
      <c r="AA23"/>
      <c r="AB23"/>
      <c r="AC23"/>
      <c r="AD23"/>
      <c r="AE23"/>
    </row>
    <row r="24" spans="1:31" x14ac:dyDescent="0.25">
      <c r="A24"/>
      <c r="B24"/>
      <c r="C24"/>
      <c r="D24"/>
      <c r="E24"/>
      <c r="F24"/>
      <c r="G24"/>
      <c r="H24"/>
      <c r="I24"/>
      <c r="J24"/>
      <c r="K24"/>
      <c r="L24"/>
      <c r="M24"/>
      <c r="N24"/>
      <c r="O24"/>
      <c r="P24"/>
      <c r="Q24"/>
      <c r="R24"/>
      <c r="S24"/>
      <c r="T24"/>
      <c r="U24"/>
      <c r="V24"/>
      <c r="W24"/>
      <c r="X24"/>
      <c r="Y24"/>
      <c r="Z24"/>
      <c r="AA24"/>
      <c r="AB24"/>
      <c r="AC24"/>
      <c r="AD24"/>
      <c r="AE24"/>
    </row>
    <row r="25" spans="1:31" x14ac:dyDescent="0.25">
      <c r="A25"/>
      <c r="B25"/>
      <c r="C25"/>
      <c r="D25"/>
      <c r="E25"/>
      <c r="F25"/>
      <c r="G25"/>
      <c r="H25"/>
      <c r="I25"/>
      <c r="J25"/>
      <c r="K25"/>
      <c r="L25"/>
      <c r="M25"/>
      <c r="N25"/>
      <c r="O25"/>
      <c r="P25"/>
      <c r="Q25"/>
      <c r="R25"/>
      <c r="S25"/>
      <c r="T25"/>
      <c r="U25"/>
      <c r="V25"/>
      <c r="W25"/>
      <c r="X25"/>
      <c r="Y25"/>
      <c r="Z25"/>
      <c r="AA25"/>
      <c r="AB25"/>
      <c r="AC25"/>
      <c r="AD25"/>
      <c r="AE25"/>
    </row>
    <row r="26" spans="1:31" x14ac:dyDescent="0.25">
      <c r="A26"/>
      <c r="B26"/>
      <c r="C26"/>
      <c r="D26"/>
      <c r="E26"/>
      <c r="F26"/>
      <c r="G26"/>
      <c r="H26"/>
      <c r="I26"/>
      <c r="J26"/>
      <c r="K26"/>
      <c r="L26"/>
      <c r="M26"/>
      <c r="N26"/>
      <c r="O26"/>
      <c r="P26"/>
      <c r="Q26"/>
      <c r="R26"/>
      <c r="S26"/>
      <c r="T26"/>
      <c r="U26"/>
      <c r="V26"/>
      <c r="W26"/>
      <c r="X26"/>
      <c r="Y26"/>
      <c r="Z26"/>
      <c r="AA26"/>
      <c r="AB26"/>
      <c r="AC26"/>
      <c r="AD26"/>
      <c r="AE26"/>
    </row>
    <row r="27" spans="1:31" x14ac:dyDescent="0.25">
      <c r="A27"/>
      <c r="B27"/>
      <c r="C27"/>
      <c r="D27"/>
      <c r="E27"/>
      <c r="F27"/>
      <c r="G27"/>
      <c r="H27"/>
      <c r="I27"/>
      <c r="J27"/>
      <c r="K27"/>
      <c r="L27"/>
      <c r="M27"/>
      <c r="N27"/>
      <c r="O27"/>
      <c r="P27"/>
      <c r="Q27"/>
      <c r="R27"/>
      <c r="S27"/>
      <c r="T27"/>
      <c r="U27"/>
      <c r="V27"/>
      <c r="W27"/>
      <c r="X27"/>
      <c r="Y27"/>
      <c r="Z27"/>
      <c r="AA27"/>
      <c r="AB27"/>
      <c r="AC27"/>
      <c r="AD27"/>
      <c r="AE27"/>
    </row>
    <row r="28" spans="1:31" x14ac:dyDescent="0.25">
      <c r="A28"/>
      <c r="B28"/>
      <c r="C28"/>
      <c r="D28"/>
      <c r="E28"/>
      <c r="F28"/>
      <c r="G28"/>
      <c r="H28"/>
      <c r="I28"/>
      <c r="J28"/>
      <c r="K28"/>
      <c r="L28"/>
      <c r="M28"/>
      <c r="N28"/>
      <c r="O28"/>
      <c r="P28"/>
      <c r="Q28"/>
      <c r="R28"/>
      <c r="S28"/>
      <c r="T28"/>
      <c r="U28"/>
      <c r="V28"/>
      <c r="W28"/>
      <c r="X28"/>
      <c r="Y28"/>
      <c r="Z28"/>
      <c r="AA28"/>
      <c r="AB28"/>
      <c r="AC28"/>
      <c r="AD28"/>
      <c r="AE28"/>
    </row>
    <row r="29" spans="1:31" x14ac:dyDescent="0.25">
      <c r="A29"/>
      <c r="B29"/>
      <c r="C29"/>
      <c r="D29"/>
      <c r="E29"/>
      <c r="F29"/>
      <c r="G29"/>
      <c r="H29"/>
      <c r="I29"/>
      <c r="J29"/>
      <c r="K29"/>
      <c r="L29"/>
      <c r="M29"/>
      <c r="N29"/>
      <c r="O29"/>
      <c r="P29"/>
      <c r="Q29"/>
      <c r="R29"/>
      <c r="S29"/>
      <c r="T29"/>
      <c r="U29"/>
      <c r="V29"/>
      <c r="W29"/>
      <c r="X29"/>
      <c r="Y29"/>
      <c r="Z29"/>
      <c r="AA29"/>
      <c r="AB29"/>
      <c r="AC29"/>
      <c r="AD29"/>
      <c r="AE29"/>
    </row>
    <row r="30" spans="1:31" x14ac:dyDescent="0.25">
      <c r="A30"/>
      <c r="B30"/>
      <c r="C30"/>
      <c r="D30"/>
      <c r="E30"/>
      <c r="F30"/>
      <c r="G30"/>
      <c r="H30"/>
      <c r="I30"/>
      <c r="J30"/>
      <c r="K30"/>
      <c r="L30"/>
      <c r="M30"/>
      <c r="N30"/>
      <c r="O30"/>
      <c r="P30"/>
      <c r="Q30"/>
      <c r="R30"/>
      <c r="S30"/>
      <c r="T30"/>
      <c r="U30"/>
      <c r="V30"/>
      <c r="W30"/>
      <c r="X30"/>
      <c r="Y30"/>
      <c r="Z30"/>
      <c r="AA30"/>
      <c r="AB30"/>
      <c r="AC30"/>
      <c r="AD30"/>
      <c r="AE30"/>
    </row>
    <row r="31" spans="1:31" x14ac:dyDescent="0.25">
      <c r="A31"/>
      <c r="B31"/>
      <c r="C31"/>
      <c r="D31"/>
      <c r="E31"/>
      <c r="F31"/>
      <c r="G31"/>
      <c r="H31"/>
      <c r="I31"/>
      <c r="J31"/>
      <c r="K31"/>
      <c r="L31"/>
      <c r="M31"/>
      <c r="N31"/>
      <c r="O31"/>
      <c r="P31"/>
      <c r="Q31"/>
      <c r="R31"/>
      <c r="S31"/>
      <c r="T31"/>
      <c r="U31"/>
      <c r="V31"/>
      <c r="W31"/>
      <c r="X31"/>
      <c r="Y31"/>
      <c r="Z31"/>
      <c r="AA31"/>
      <c r="AB31"/>
      <c r="AC31"/>
      <c r="AD31"/>
      <c r="AE31"/>
    </row>
    <row r="32" spans="1:31" x14ac:dyDescent="0.25">
      <c r="A32"/>
      <c r="B32"/>
      <c r="C32"/>
      <c r="D32"/>
      <c r="E32"/>
      <c r="F32"/>
      <c r="G32"/>
      <c r="H32"/>
      <c r="I32"/>
      <c r="J32"/>
      <c r="K32"/>
      <c r="L32"/>
      <c r="M32"/>
      <c r="N32"/>
      <c r="O32"/>
      <c r="P32"/>
      <c r="Q32"/>
      <c r="R32"/>
      <c r="S32"/>
      <c r="T32"/>
      <c r="U32"/>
      <c r="V32"/>
      <c r="W32"/>
      <c r="X32"/>
      <c r="Y32"/>
      <c r="Z32"/>
      <c r="AA32"/>
      <c r="AB32"/>
      <c r="AC32"/>
      <c r="AD32"/>
      <c r="AE32"/>
    </row>
    <row r="33" spans="1:31" x14ac:dyDescent="0.25">
      <c r="A33"/>
      <c r="B33"/>
      <c r="C33"/>
      <c r="D33"/>
      <c r="E33"/>
      <c r="F33"/>
      <c r="G33"/>
      <c r="H33"/>
      <c r="I33"/>
      <c r="J33"/>
      <c r="K33"/>
      <c r="L33"/>
      <c r="M33"/>
      <c r="N33"/>
      <c r="O33"/>
      <c r="P33"/>
      <c r="Q33"/>
      <c r="R33"/>
      <c r="S33"/>
      <c r="T33"/>
      <c r="U33"/>
      <c r="V33"/>
      <c r="W33"/>
      <c r="X33"/>
      <c r="Y33"/>
      <c r="Z33"/>
      <c r="AA33"/>
      <c r="AB33"/>
      <c r="AC33"/>
      <c r="AD33"/>
      <c r="AE33"/>
    </row>
    <row r="34" spans="1:31" x14ac:dyDescent="0.25">
      <c r="A34"/>
      <c r="B34"/>
      <c r="C34"/>
      <c r="D34"/>
      <c r="E34"/>
      <c r="F34"/>
      <c r="G34"/>
      <c r="H34"/>
      <c r="I34"/>
      <c r="J34"/>
      <c r="K34"/>
      <c r="L34"/>
      <c r="M34"/>
      <c r="N34"/>
      <c r="O34"/>
      <c r="P34"/>
      <c r="Q34"/>
      <c r="R34"/>
      <c r="S34"/>
      <c r="T34"/>
      <c r="U34"/>
      <c r="V34"/>
      <c r="W34"/>
      <c r="X34"/>
      <c r="Y34"/>
      <c r="Z34"/>
      <c r="AA34"/>
      <c r="AB34"/>
      <c r="AC34"/>
      <c r="AD34"/>
      <c r="AE34"/>
    </row>
    <row r="35" spans="1:31" x14ac:dyDescent="0.25">
      <c r="A35"/>
      <c r="B35"/>
      <c r="C35"/>
      <c r="D35"/>
      <c r="E35"/>
      <c r="F35"/>
      <c r="G35"/>
      <c r="H35"/>
      <c r="I35"/>
      <c r="J35"/>
      <c r="K35"/>
      <c r="L35"/>
      <c r="M35"/>
      <c r="N35"/>
      <c r="O35"/>
      <c r="P35"/>
      <c r="Q35"/>
      <c r="R35"/>
      <c r="S35"/>
      <c r="T35"/>
      <c r="U35"/>
      <c r="V35"/>
      <c r="W35"/>
      <c r="X35"/>
      <c r="Y35"/>
      <c r="Z35"/>
      <c r="AA35"/>
      <c r="AB35"/>
      <c r="AC35"/>
      <c r="AD35"/>
      <c r="AE35"/>
    </row>
    <row r="36" spans="1:31" x14ac:dyDescent="0.25">
      <c r="A36"/>
      <c r="B36"/>
      <c r="C36"/>
      <c r="D36"/>
      <c r="E36"/>
      <c r="F36"/>
      <c r="G36"/>
      <c r="H36"/>
      <c r="I36"/>
      <c r="J36"/>
      <c r="K36"/>
      <c r="L36"/>
      <c r="M36"/>
      <c r="N36"/>
      <c r="O36"/>
      <c r="P36"/>
      <c r="Q36"/>
      <c r="R36"/>
      <c r="S36"/>
      <c r="T36"/>
      <c r="U36"/>
      <c r="V36"/>
      <c r="W36"/>
      <c r="X36"/>
      <c r="Y36"/>
      <c r="Z36"/>
      <c r="AA36"/>
      <c r="AB36"/>
      <c r="AC36"/>
      <c r="AD36"/>
      <c r="AE36"/>
    </row>
    <row r="37" spans="1:31" x14ac:dyDescent="0.25">
      <c r="A37"/>
      <c r="B37"/>
      <c r="C37"/>
      <c r="D37"/>
      <c r="E37"/>
      <c r="F37"/>
      <c r="G37"/>
      <c r="H37"/>
      <c r="I37"/>
      <c r="J37"/>
      <c r="K37"/>
      <c r="L37"/>
      <c r="M37"/>
      <c r="N37"/>
      <c r="O37"/>
      <c r="P37"/>
      <c r="Q37"/>
      <c r="R37"/>
      <c r="S37"/>
      <c r="T37"/>
      <c r="U37"/>
      <c r="V37"/>
      <c r="W37"/>
      <c r="X37"/>
      <c r="Y37"/>
      <c r="Z37"/>
      <c r="AA37"/>
      <c r="AB37"/>
      <c r="AC37"/>
      <c r="AD37"/>
      <c r="AE37"/>
    </row>
    <row r="38" spans="1:31" x14ac:dyDescent="0.25">
      <c r="A38"/>
      <c r="B38"/>
      <c r="C38"/>
      <c r="D38"/>
      <c r="E38"/>
      <c r="F38"/>
      <c r="G38"/>
      <c r="H38"/>
      <c r="I38"/>
      <c r="J38"/>
      <c r="K38"/>
      <c r="L38"/>
      <c r="M38"/>
      <c r="N38"/>
      <c r="O38"/>
      <c r="P38"/>
      <c r="Q38"/>
      <c r="R38"/>
      <c r="S38"/>
      <c r="T38"/>
      <c r="U38"/>
      <c r="V38"/>
      <c r="W38"/>
      <c r="X38"/>
      <c r="Y38"/>
      <c r="Z38"/>
      <c r="AA38"/>
      <c r="AB38"/>
      <c r="AC38"/>
      <c r="AD38"/>
      <c r="AE38"/>
    </row>
    <row r="39" spans="1:31" x14ac:dyDescent="0.25">
      <c r="A39"/>
      <c r="B39"/>
      <c r="C39"/>
      <c r="D39"/>
      <c r="E39"/>
      <c r="F39"/>
      <c r="G39"/>
      <c r="H39"/>
      <c r="I39"/>
      <c r="J39"/>
      <c r="K39"/>
      <c r="L39"/>
      <c r="M39"/>
      <c r="N39"/>
      <c r="O39"/>
      <c r="P39"/>
      <c r="Q39"/>
      <c r="R39"/>
      <c r="S39"/>
      <c r="T39"/>
      <c r="U39"/>
      <c r="V39"/>
      <c r="W39"/>
      <c r="X39"/>
      <c r="Y39"/>
      <c r="Z39"/>
      <c r="AA39"/>
      <c r="AB39"/>
      <c r="AC39"/>
      <c r="AD39"/>
      <c r="AE39"/>
    </row>
    <row r="40" spans="1:31" x14ac:dyDescent="0.25">
      <c r="A40"/>
      <c r="B40"/>
      <c r="C40"/>
      <c r="D40"/>
      <c r="E40"/>
      <c r="F40"/>
      <c r="G40"/>
      <c r="H40"/>
      <c r="I40"/>
      <c r="J40"/>
      <c r="K40"/>
      <c r="L40"/>
      <c r="M40"/>
      <c r="N40"/>
      <c r="O40"/>
      <c r="P40"/>
      <c r="Q40"/>
      <c r="R40"/>
      <c r="S40"/>
      <c r="T40"/>
      <c r="U40"/>
      <c r="V40"/>
      <c r="W40"/>
      <c r="X40"/>
      <c r="Y40"/>
      <c r="Z40"/>
      <c r="AA40"/>
      <c r="AB40"/>
      <c r="AC40"/>
      <c r="AD40"/>
      <c r="AE40"/>
    </row>
    <row r="41" spans="1:31" x14ac:dyDescent="0.25">
      <c r="A41"/>
      <c r="B41"/>
      <c r="C41"/>
      <c r="D41"/>
      <c r="E41"/>
      <c r="F41"/>
      <c r="G41"/>
      <c r="H41"/>
      <c r="I41"/>
      <c r="J41"/>
      <c r="K41"/>
      <c r="L41"/>
      <c r="M41"/>
      <c r="N41"/>
      <c r="O41"/>
      <c r="P41"/>
      <c r="Q41"/>
      <c r="R41"/>
      <c r="S41"/>
      <c r="T41"/>
      <c r="U41"/>
      <c r="V41"/>
      <c r="W41"/>
      <c r="X41"/>
      <c r="Y41"/>
      <c r="Z41"/>
      <c r="AA41"/>
      <c r="AB41"/>
      <c r="AC41"/>
      <c r="AD41"/>
      <c r="AE41"/>
    </row>
    <row r="42" spans="1:31" x14ac:dyDescent="0.25">
      <c r="A42"/>
      <c r="B42"/>
      <c r="C42"/>
      <c r="D42"/>
      <c r="E42"/>
      <c r="F42"/>
      <c r="G42"/>
      <c r="H42"/>
      <c r="I42"/>
      <c r="J42"/>
      <c r="K42"/>
      <c r="L42"/>
      <c r="M42"/>
      <c r="N42"/>
      <c r="O42"/>
      <c r="P42"/>
      <c r="Q42"/>
      <c r="R42"/>
      <c r="S42"/>
      <c r="T42"/>
      <c r="U42"/>
      <c r="V42"/>
      <c r="W42"/>
      <c r="X42"/>
      <c r="Y42"/>
      <c r="Z42"/>
      <c r="AA42"/>
      <c r="AB42"/>
      <c r="AC42"/>
      <c r="AD42"/>
      <c r="AE42"/>
    </row>
    <row r="43" spans="1:31" x14ac:dyDescent="0.25">
      <c r="A43"/>
      <c r="B43"/>
      <c r="C43"/>
      <c r="D43"/>
      <c r="E43"/>
      <c r="F43"/>
      <c r="G43"/>
      <c r="H43"/>
      <c r="I43"/>
      <c r="J43"/>
      <c r="K43"/>
      <c r="L43"/>
      <c r="M43"/>
      <c r="N43"/>
      <c r="O43"/>
      <c r="P43"/>
      <c r="Q43"/>
      <c r="R43"/>
      <c r="S43"/>
      <c r="T43"/>
      <c r="U43"/>
      <c r="V43"/>
      <c r="W43"/>
      <c r="X43"/>
      <c r="Y43"/>
      <c r="Z43"/>
      <c r="AA43"/>
      <c r="AB43"/>
      <c r="AC43"/>
      <c r="AD43"/>
      <c r="AE43"/>
    </row>
    <row r="44" spans="1:31" x14ac:dyDescent="0.25">
      <c r="A44"/>
      <c r="B44"/>
      <c r="C44"/>
      <c r="D44"/>
      <c r="E44"/>
      <c r="F44"/>
      <c r="G44"/>
      <c r="H44"/>
      <c r="I44"/>
      <c r="J44"/>
      <c r="K44"/>
      <c r="L44"/>
      <c r="M44"/>
      <c r="N44"/>
      <c r="O44"/>
      <c r="P44"/>
      <c r="Q44"/>
      <c r="R44"/>
      <c r="S44"/>
      <c r="T44"/>
      <c r="U44"/>
      <c r="V44"/>
      <c r="W44"/>
      <c r="X44"/>
      <c r="Y44"/>
      <c r="Z44"/>
      <c r="AA44"/>
      <c r="AB44"/>
      <c r="AC44"/>
      <c r="AD44"/>
      <c r="AE44"/>
    </row>
    <row r="45" spans="1:31" x14ac:dyDescent="0.25">
      <c r="A45"/>
      <c r="B45"/>
      <c r="C45"/>
      <c r="D45"/>
      <c r="E45"/>
      <c r="F45"/>
      <c r="G45"/>
      <c r="H45"/>
      <c r="I45"/>
      <c r="J45"/>
      <c r="K45"/>
      <c r="L45"/>
      <c r="M45"/>
      <c r="N45"/>
      <c r="O45"/>
      <c r="P45"/>
      <c r="Q45"/>
      <c r="R45"/>
      <c r="S45"/>
      <c r="T45"/>
      <c r="U45"/>
      <c r="V45"/>
      <c r="W45"/>
      <c r="X45"/>
      <c r="Y45"/>
      <c r="Z45"/>
      <c r="AA45"/>
      <c r="AB45"/>
      <c r="AC45"/>
      <c r="AD45"/>
      <c r="AE45"/>
    </row>
    <row r="46" spans="1:31" x14ac:dyDescent="0.25">
      <c r="A46"/>
      <c r="B46"/>
      <c r="C46"/>
      <c r="D46"/>
      <c r="E46"/>
      <c r="F46"/>
      <c r="G46"/>
      <c r="H46"/>
      <c r="I46"/>
      <c r="J46"/>
      <c r="K46"/>
      <c r="L46"/>
      <c r="M46"/>
      <c r="N46"/>
      <c r="O46"/>
      <c r="P46"/>
      <c r="Q46"/>
      <c r="R46"/>
      <c r="S46"/>
      <c r="T46"/>
      <c r="U46"/>
      <c r="V46"/>
      <c r="W46"/>
      <c r="X46"/>
      <c r="Y46"/>
      <c r="Z46"/>
      <c r="AA46"/>
      <c r="AB46"/>
      <c r="AC46"/>
      <c r="AD46"/>
      <c r="AE46"/>
    </row>
    <row r="47" spans="1:31" x14ac:dyDescent="0.25">
      <c r="A47"/>
      <c r="B47"/>
      <c r="C47"/>
      <c r="D47"/>
      <c r="E47"/>
      <c r="F47"/>
      <c r="G47"/>
      <c r="H47"/>
      <c r="I47"/>
      <c r="J47"/>
      <c r="K47"/>
      <c r="L47"/>
      <c r="M47"/>
      <c r="N47"/>
      <c r="O47"/>
      <c r="P47"/>
      <c r="Q47"/>
      <c r="R47"/>
      <c r="S47"/>
      <c r="T47"/>
      <c r="U47"/>
      <c r="V47"/>
      <c r="W47"/>
      <c r="X47"/>
      <c r="Y47"/>
      <c r="Z47"/>
      <c r="AA47"/>
      <c r="AB47"/>
      <c r="AC47"/>
      <c r="AD47"/>
      <c r="AE47"/>
    </row>
    <row r="48" spans="1:31" x14ac:dyDescent="0.25">
      <c r="A48"/>
      <c r="B48"/>
      <c r="C48"/>
      <c r="D48"/>
      <c r="E48"/>
      <c r="F48"/>
      <c r="G48"/>
      <c r="H48"/>
      <c r="I48"/>
      <c r="J48"/>
      <c r="K48"/>
      <c r="L48"/>
      <c r="M48"/>
      <c r="N48"/>
      <c r="O48"/>
      <c r="P48"/>
      <c r="Q48"/>
      <c r="R48"/>
      <c r="S48"/>
      <c r="T48"/>
      <c r="U48"/>
      <c r="V48"/>
      <c r="W48"/>
      <c r="X48"/>
      <c r="Y48"/>
      <c r="Z48"/>
      <c r="AA48"/>
      <c r="AB48"/>
      <c r="AC48"/>
      <c r="AD48"/>
      <c r="AE48"/>
    </row>
    <row r="49" spans="1:31" x14ac:dyDescent="0.25">
      <c r="A49"/>
      <c r="B49"/>
      <c r="C49"/>
      <c r="D49"/>
      <c r="E49"/>
      <c r="F49"/>
      <c r="G49"/>
      <c r="H49"/>
      <c r="I49"/>
      <c r="J49"/>
      <c r="K49"/>
      <c r="L49"/>
      <c r="M49"/>
      <c r="N49"/>
      <c r="O49"/>
      <c r="P49"/>
      <c r="Q49"/>
      <c r="R49"/>
      <c r="S49"/>
      <c r="T49"/>
      <c r="U49"/>
      <c r="V49"/>
      <c r="W49"/>
      <c r="X49"/>
      <c r="Y49"/>
      <c r="Z49"/>
      <c r="AA49"/>
      <c r="AB49"/>
      <c r="AC49"/>
      <c r="AD49"/>
      <c r="AE49"/>
    </row>
    <row r="50" spans="1:31" x14ac:dyDescent="0.25">
      <c r="A50"/>
      <c r="B50"/>
      <c r="C50"/>
      <c r="D50"/>
      <c r="E50"/>
      <c r="F50"/>
      <c r="G50"/>
      <c r="H50"/>
      <c r="I50"/>
      <c r="J50"/>
      <c r="K50"/>
      <c r="L50"/>
      <c r="M50"/>
      <c r="N50"/>
      <c r="O50"/>
      <c r="P50"/>
      <c r="Q50"/>
      <c r="R50"/>
      <c r="S50"/>
      <c r="T50"/>
      <c r="U50"/>
      <c r="V50"/>
      <c r="W50"/>
      <c r="X50"/>
      <c r="Y50"/>
      <c r="Z50"/>
      <c r="AA50"/>
      <c r="AB50"/>
      <c r="AC50"/>
      <c r="AD50"/>
      <c r="AE50"/>
    </row>
    <row r="51" spans="1:31" x14ac:dyDescent="0.25">
      <c r="A51"/>
      <c r="B51"/>
      <c r="C51"/>
      <c r="D51"/>
      <c r="E51"/>
      <c r="F51"/>
      <c r="G51"/>
      <c r="H51"/>
      <c r="I51"/>
      <c r="J51"/>
      <c r="K51"/>
      <c r="L51"/>
      <c r="M51"/>
      <c r="N51"/>
      <c r="O51"/>
      <c r="P51"/>
      <c r="Q51"/>
      <c r="R51"/>
      <c r="S51"/>
      <c r="T51"/>
      <c r="U51"/>
      <c r="V51"/>
      <c r="W51"/>
      <c r="X51"/>
      <c r="Y51"/>
      <c r="Z51"/>
      <c r="AA51"/>
      <c r="AB51"/>
      <c r="AC51"/>
      <c r="AD51"/>
      <c r="AE51"/>
    </row>
    <row r="52" spans="1:31" x14ac:dyDescent="0.25">
      <c r="A52"/>
      <c r="B52"/>
      <c r="C52"/>
      <c r="D52"/>
      <c r="E52"/>
      <c r="F52"/>
      <c r="G52"/>
      <c r="H52"/>
      <c r="I52"/>
      <c r="J52"/>
      <c r="K52"/>
      <c r="L52"/>
      <c r="M52"/>
      <c r="N52"/>
      <c r="O52"/>
      <c r="P52"/>
      <c r="Q52"/>
      <c r="R52"/>
      <c r="S52"/>
      <c r="T52"/>
      <c r="U52"/>
      <c r="V52"/>
      <c r="W52"/>
      <c r="X52"/>
      <c r="Y52"/>
      <c r="Z52"/>
      <c r="AA52"/>
      <c r="AB52"/>
      <c r="AC52"/>
      <c r="AD52"/>
      <c r="AE52"/>
    </row>
    <row r="53" spans="1:31" x14ac:dyDescent="0.25">
      <c r="A53"/>
      <c r="B53"/>
      <c r="C53"/>
      <c r="D53"/>
      <c r="E53"/>
      <c r="F53"/>
      <c r="G53"/>
      <c r="H53"/>
      <c r="I53"/>
      <c r="J53"/>
      <c r="K53"/>
      <c r="L53"/>
      <c r="M53"/>
      <c r="N53"/>
      <c r="O53"/>
      <c r="P53"/>
      <c r="Q53"/>
      <c r="R53"/>
      <c r="S53"/>
      <c r="T53"/>
      <c r="U53"/>
      <c r="V53"/>
      <c r="W53"/>
      <c r="X53"/>
      <c r="Y53"/>
      <c r="Z53"/>
      <c r="AA53"/>
      <c r="AB53"/>
      <c r="AC53"/>
      <c r="AD53"/>
      <c r="AE53"/>
    </row>
    <row r="54" spans="1:31" x14ac:dyDescent="0.25">
      <c r="A54"/>
      <c r="B54"/>
      <c r="C54"/>
      <c r="D54"/>
      <c r="E54"/>
      <c r="F54"/>
      <c r="G54"/>
      <c r="H54"/>
      <c r="I54"/>
      <c r="J54"/>
      <c r="K54"/>
      <c r="L54"/>
      <c r="M54"/>
      <c r="N54"/>
      <c r="O54"/>
      <c r="P54"/>
      <c r="Q54"/>
      <c r="R54"/>
      <c r="S54"/>
      <c r="T54"/>
      <c r="U54"/>
      <c r="V54"/>
      <c r="W54"/>
      <c r="X54"/>
      <c r="Y54"/>
      <c r="Z54"/>
      <c r="AA54"/>
      <c r="AB54"/>
      <c r="AC54"/>
      <c r="AD54"/>
      <c r="AE54"/>
    </row>
    <row r="55" spans="1:31" x14ac:dyDescent="0.25">
      <c r="A55"/>
      <c r="B55"/>
      <c r="C55"/>
      <c r="D55"/>
      <c r="E55"/>
      <c r="F55"/>
      <c r="G55"/>
      <c r="H55"/>
      <c r="I55"/>
      <c r="J55"/>
      <c r="K55"/>
      <c r="L55"/>
      <c r="M55"/>
      <c r="N55"/>
      <c r="O55"/>
      <c r="P55"/>
      <c r="Q55"/>
      <c r="R55"/>
      <c r="S55"/>
      <c r="T55"/>
      <c r="U55"/>
      <c r="V55"/>
      <c r="W55"/>
      <c r="X55"/>
      <c r="Y55"/>
      <c r="Z55"/>
      <c r="AA55"/>
      <c r="AB55"/>
      <c r="AC55"/>
      <c r="AD55"/>
      <c r="AE55"/>
    </row>
    <row r="56" spans="1:31" x14ac:dyDescent="0.25">
      <c r="A56"/>
      <c r="B56"/>
      <c r="C56"/>
      <c r="D56"/>
      <c r="E56"/>
      <c r="F56"/>
      <c r="G56"/>
      <c r="H56"/>
      <c r="I56"/>
      <c r="J56"/>
      <c r="K56"/>
      <c r="L56"/>
      <c r="M56"/>
      <c r="N56"/>
      <c r="O56"/>
      <c r="P56"/>
      <c r="Q56"/>
      <c r="R56"/>
      <c r="S56"/>
      <c r="T56"/>
      <c r="U56"/>
      <c r="V56"/>
      <c r="W56"/>
      <c r="X56"/>
      <c r="Y56"/>
      <c r="Z56"/>
      <c r="AA56"/>
      <c r="AB56"/>
      <c r="AC56"/>
      <c r="AD56"/>
      <c r="AE56"/>
    </row>
    <row r="57" spans="1:31" x14ac:dyDescent="0.25">
      <c r="A57"/>
      <c r="B57"/>
      <c r="C57"/>
      <c r="D57"/>
      <c r="E57"/>
      <c r="F57"/>
      <c r="G57"/>
      <c r="H57"/>
      <c r="I57"/>
      <c r="J57"/>
      <c r="K57"/>
      <c r="L57"/>
      <c r="M57"/>
      <c r="N57"/>
      <c r="O57"/>
      <c r="P57"/>
      <c r="Q57"/>
      <c r="R57"/>
      <c r="S57"/>
      <c r="T57"/>
      <c r="U57"/>
      <c r="V57"/>
      <c r="W57"/>
      <c r="X57"/>
      <c r="Y57"/>
      <c r="Z57"/>
      <c r="AA57"/>
      <c r="AB57"/>
      <c r="AC57"/>
      <c r="AD57"/>
      <c r="AE57"/>
    </row>
    <row r="58" spans="1:31" x14ac:dyDescent="0.25">
      <c r="A58"/>
      <c r="B58"/>
      <c r="C58"/>
      <c r="D58"/>
      <c r="E58"/>
      <c r="F58"/>
      <c r="G58"/>
      <c r="H58"/>
      <c r="I58"/>
      <c r="J58"/>
      <c r="K58"/>
      <c r="L58"/>
      <c r="M58"/>
      <c r="N58"/>
      <c r="O58"/>
      <c r="P58"/>
      <c r="Q58"/>
      <c r="R58"/>
      <c r="S58"/>
      <c r="T58"/>
      <c r="U58"/>
      <c r="V58"/>
      <c r="W58"/>
      <c r="X58"/>
      <c r="Y58"/>
      <c r="Z58"/>
      <c r="AA58"/>
      <c r="AB58"/>
      <c r="AC58"/>
      <c r="AD58"/>
      <c r="AE58"/>
    </row>
    <row r="59" spans="1:31" x14ac:dyDescent="0.25">
      <c r="A59"/>
      <c r="B59"/>
      <c r="C59"/>
      <c r="D59"/>
      <c r="E59"/>
      <c r="F59"/>
      <c r="G59"/>
      <c r="H59"/>
      <c r="I59"/>
      <c r="J59"/>
      <c r="K59"/>
      <c r="L59"/>
      <c r="M59"/>
      <c r="N59"/>
      <c r="O59"/>
      <c r="P59"/>
      <c r="Q59"/>
      <c r="R59"/>
      <c r="S59"/>
      <c r="T59"/>
      <c r="U59"/>
      <c r="V59"/>
      <c r="W59"/>
      <c r="X59"/>
      <c r="Y59"/>
      <c r="Z59"/>
      <c r="AA59"/>
      <c r="AB59"/>
      <c r="AC59"/>
      <c r="AD59"/>
      <c r="AE59"/>
    </row>
    <row r="60" spans="1:31" x14ac:dyDescent="0.25">
      <c r="A60"/>
      <c r="B60"/>
      <c r="C60"/>
      <c r="D60"/>
      <c r="E60"/>
      <c r="F60"/>
      <c r="G60"/>
      <c r="H60"/>
      <c r="I60"/>
      <c r="J60"/>
      <c r="K60"/>
      <c r="L60"/>
      <c r="M60"/>
      <c r="N60"/>
      <c r="O60"/>
      <c r="P60"/>
      <c r="Q60"/>
      <c r="R60"/>
      <c r="S60"/>
      <c r="T60"/>
      <c r="U60"/>
      <c r="V60"/>
      <c r="W60"/>
      <c r="X60"/>
      <c r="Y60"/>
      <c r="Z60"/>
      <c r="AA60"/>
      <c r="AB60"/>
      <c r="AC60"/>
      <c r="AD60"/>
      <c r="AE60"/>
    </row>
    <row r="61" spans="1:31" x14ac:dyDescent="0.25">
      <c r="A61"/>
      <c r="B61"/>
      <c r="C61"/>
      <c r="D61"/>
      <c r="E61"/>
      <c r="F61"/>
      <c r="G61"/>
      <c r="H61"/>
      <c r="I61"/>
      <c r="J61"/>
      <c r="K61"/>
      <c r="L61"/>
      <c r="M61"/>
      <c r="N61"/>
      <c r="O61"/>
      <c r="P61"/>
      <c r="Q61"/>
      <c r="R61"/>
      <c r="S61"/>
      <c r="T61"/>
      <c r="U61"/>
      <c r="V61"/>
      <c r="W61"/>
      <c r="X61"/>
      <c r="Y61"/>
      <c r="Z61"/>
      <c r="AA61"/>
      <c r="AB61"/>
      <c r="AC61"/>
      <c r="AD61"/>
      <c r="AE61"/>
    </row>
    <row r="62" spans="1:31" x14ac:dyDescent="0.25">
      <c r="A62"/>
      <c r="B62"/>
      <c r="C62"/>
      <c r="D62"/>
      <c r="E62"/>
      <c r="F62"/>
      <c r="G62"/>
      <c r="H62"/>
      <c r="I62"/>
      <c r="J62"/>
      <c r="K62"/>
      <c r="L62"/>
      <c r="M62"/>
      <c r="N62"/>
      <c r="O62"/>
      <c r="P62"/>
      <c r="Q62"/>
      <c r="R62"/>
      <c r="S62"/>
      <c r="T62"/>
      <c r="U62"/>
      <c r="V62"/>
      <c r="W62"/>
      <c r="X62"/>
      <c r="Y62"/>
      <c r="Z62"/>
      <c r="AA62"/>
      <c r="AB62"/>
      <c r="AC62"/>
      <c r="AD62"/>
      <c r="AE62"/>
    </row>
    <row r="63" spans="1:31" x14ac:dyDescent="0.25">
      <c r="A63"/>
      <c r="B63"/>
      <c r="C63"/>
      <c r="D63"/>
      <c r="E63"/>
      <c r="F63"/>
      <c r="G63"/>
      <c r="H63"/>
      <c r="I63"/>
      <c r="J63"/>
      <c r="K63"/>
      <c r="L63"/>
      <c r="M63"/>
      <c r="N63"/>
      <c r="O63"/>
      <c r="P63"/>
      <c r="Q63"/>
      <c r="R63"/>
      <c r="S63"/>
      <c r="T63"/>
      <c r="U63"/>
      <c r="V63"/>
      <c r="W63"/>
      <c r="X63"/>
      <c r="Y63"/>
      <c r="Z63"/>
      <c r="AA63"/>
      <c r="AB63"/>
      <c r="AC63"/>
      <c r="AD63"/>
      <c r="AE63"/>
    </row>
    <row r="64" spans="1:31" x14ac:dyDescent="0.25">
      <c r="A64"/>
      <c r="B64"/>
      <c r="C64"/>
      <c r="D64"/>
      <c r="E64"/>
      <c r="F64"/>
      <c r="G64"/>
      <c r="H64"/>
      <c r="I64"/>
      <c r="J64"/>
      <c r="K64"/>
      <c r="L64"/>
      <c r="M64"/>
      <c r="N64"/>
      <c r="O64"/>
      <c r="P64"/>
      <c r="Q64"/>
      <c r="R64"/>
      <c r="S64"/>
      <c r="T64"/>
      <c r="U64"/>
      <c r="V64"/>
      <c r="W64"/>
      <c r="X64"/>
      <c r="Y64"/>
      <c r="Z64"/>
      <c r="AA64"/>
      <c r="AB64"/>
      <c r="AC64"/>
      <c r="AD64"/>
      <c r="AE64"/>
    </row>
    <row r="65" spans="1:31" x14ac:dyDescent="0.25">
      <c r="A65"/>
      <c r="B65"/>
      <c r="C65"/>
      <c r="D65"/>
      <c r="E65"/>
      <c r="F65"/>
      <c r="G65"/>
      <c r="H65"/>
      <c r="I65"/>
      <c r="J65"/>
      <c r="K65"/>
      <c r="L65"/>
      <c r="M65"/>
      <c r="N65"/>
      <c r="O65"/>
      <c r="P65"/>
      <c r="Q65"/>
      <c r="R65"/>
      <c r="S65"/>
      <c r="T65"/>
      <c r="U65"/>
      <c r="V65"/>
      <c r="W65"/>
      <c r="X65"/>
      <c r="Y65"/>
      <c r="Z65"/>
      <c r="AA65"/>
      <c r="AB65"/>
      <c r="AC65"/>
      <c r="AD65"/>
      <c r="AE65"/>
    </row>
    <row r="66" spans="1:31" x14ac:dyDescent="0.25">
      <c r="A66"/>
      <c r="B66"/>
      <c r="C66"/>
      <c r="D66"/>
      <c r="E66"/>
      <c r="F66"/>
      <c r="G66"/>
      <c r="H66"/>
      <c r="I66"/>
      <c r="J66"/>
      <c r="K66"/>
      <c r="L66"/>
      <c r="M66"/>
      <c r="N66"/>
      <c r="O66"/>
      <c r="P66"/>
      <c r="Q66"/>
      <c r="R66"/>
      <c r="S66"/>
      <c r="T66"/>
      <c r="U66"/>
      <c r="V66"/>
      <c r="W66"/>
      <c r="X66"/>
      <c r="Y66"/>
      <c r="Z66"/>
      <c r="AA66"/>
      <c r="AB66"/>
      <c r="AC66"/>
      <c r="AD66"/>
      <c r="AE66"/>
    </row>
    <row r="67" spans="1:31" x14ac:dyDescent="0.25">
      <c r="A67"/>
      <c r="B67"/>
      <c r="C67"/>
      <c r="D67"/>
      <c r="E67"/>
      <c r="F67"/>
      <c r="G67"/>
      <c r="H67"/>
      <c r="I67"/>
      <c r="J67"/>
      <c r="K67"/>
      <c r="L67"/>
      <c r="M67"/>
      <c r="N67"/>
      <c r="O67"/>
      <c r="P67"/>
      <c r="Q67"/>
      <c r="R67"/>
      <c r="S67"/>
      <c r="T67"/>
      <c r="U67"/>
      <c r="V67"/>
      <c r="W67"/>
      <c r="X67"/>
      <c r="Y67"/>
      <c r="Z67"/>
      <c r="AA67"/>
      <c r="AB67"/>
      <c r="AC67"/>
      <c r="AD67"/>
      <c r="AE67"/>
    </row>
    <row r="68" spans="1:31" x14ac:dyDescent="0.25">
      <c r="A68"/>
      <c r="B68"/>
      <c r="C68"/>
      <c r="D68"/>
      <c r="E68"/>
      <c r="F68"/>
      <c r="G68"/>
      <c r="H68"/>
      <c r="I68"/>
      <c r="J68"/>
      <c r="K68"/>
      <c r="L68"/>
      <c r="M68"/>
      <c r="N68"/>
      <c r="O68"/>
      <c r="P68"/>
      <c r="Q68"/>
      <c r="R68"/>
      <c r="S68"/>
      <c r="T68"/>
      <c r="U68"/>
      <c r="V68"/>
      <c r="W68"/>
      <c r="X68"/>
      <c r="Y68"/>
      <c r="Z68"/>
      <c r="AA68"/>
      <c r="AB68"/>
      <c r="AC68"/>
      <c r="AD68"/>
      <c r="AE68"/>
    </row>
    <row r="69" spans="1:31" x14ac:dyDescent="0.25">
      <c r="A69"/>
      <c r="B69"/>
      <c r="C69"/>
      <c r="D69"/>
      <c r="E69"/>
      <c r="F69"/>
      <c r="G69"/>
      <c r="H69"/>
      <c r="I69"/>
      <c r="J69"/>
      <c r="K69"/>
      <c r="L69"/>
      <c r="M69"/>
      <c r="N69"/>
      <c r="O69"/>
      <c r="P69"/>
      <c r="Q69"/>
      <c r="R69"/>
      <c r="S69"/>
      <c r="T69"/>
      <c r="U69"/>
      <c r="V69"/>
      <c r="W69"/>
      <c r="X69"/>
      <c r="Y69"/>
      <c r="Z69"/>
      <c r="AA69"/>
      <c r="AB69"/>
      <c r="AC69"/>
      <c r="AD69"/>
      <c r="AE69"/>
    </row>
    <row r="70" spans="1:31" x14ac:dyDescent="0.25">
      <c r="A70"/>
      <c r="B70"/>
      <c r="C70"/>
      <c r="D70"/>
      <c r="E70"/>
      <c r="F70"/>
      <c r="G70"/>
      <c r="H70"/>
      <c r="I70"/>
      <c r="J70"/>
      <c r="K70"/>
      <c r="L70"/>
      <c r="M70"/>
      <c r="N70"/>
      <c r="O70"/>
      <c r="P70"/>
      <c r="Q70"/>
      <c r="R70"/>
      <c r="S70"/>
      <c r="T70"/>
      <c r="U70"/>
      <c r="V70"/>
      <c r="W70"/>
      <c r="X70"/>
      <c r="Y70"/>
      <c r="Z70"/>
      <c r="AA70"/>
      <c r="AB70"/>
      <c r="AC70"/>
      <c r="AD70"/>
      <c r="AE70"/>
    </row>
    <row r="71" spans="1:31" x14ac:dyDescent="0.25">
      <c r="A71"/>
      <c r="B71"/>
      <c r="C71"/>
      <c r="D71"/>
      <c r="E71"/>
      <c r="F71"/>
      <c r="G71"/>
      <c r="H71"/>
      <c r="I71"/>
      <c r="J71"/>
      <c r="K71"/>
      <c r="L71"/>
      <c r="M71"/>
      <c r="N71"/>
      <c r="O71"/>
      <c r="P71"/>
      <c r="Q71"/>
      <c r="R71"/>
      <c r="S71"/>
      <c r="T71"/>
      <c r="U71"/>
      <c r="V71"/>
      <c r="W71"/>
      <c r="X71"/>
      <c r="Y71"/>
      <c r="Z71"/>
      <c r="AA71"/>
      <c r="AB71"/>
      <c r="AC71"/>
      <c r="AD71"/>
      <c r="AE71"/>
    </row>
    <row r="72" spans="1:31" x14ac:dyDescent="0.25">
      <c r="A72"/>
      <c r="B72"/>
      <c r="C72"/>
      <c r="D72"/>
      <c r="E72"/>
      <c r="F72"/>
      <c r="G72"/>
      <c r="H72"/>
      <c r="I72"/>
      <c r="J72"/>
      <c r="K72"/>
      <c r="L72"/>
      <c r="M72"/>
      <c r="N72"/>
      <c r="O72"/>
      <c r="P72"/>
      <c r="Q72"/>
      <c r="R72"/>
      <c r="S72"/>
      <c r="T72"/>
      <c r="U72"/>
      <c r="V72"/>
      <c r="W72"/>
      <c r="X72"/>
      <c r="Y72"/>
      <c r="Z72"/>
      <c r="AA72"/>
      <c r="AB72"/>
      <c r="AC72"/>
      <c r="AD72"/>
      <c r="AE72"/>
    </row>
    <row r="73" spans="1:31" x14ac:dyDescent="0.25">
      <c r="A73"/>
      <c r="B73"/>
      <c r="C73"/>
      <c r="D73"/>
      <c r="E73"/>
      <c r="F73"/>
      <c r="G73"/>
      <c r="H73"/>
      <c r="I73"/>
      <c r="J73"/>
      <c r="K73"/>
      <c r="L73"/>
      <c r="M73"/>
      <c r="N73"/>
      <c r="O73"/>
      <c r="P73"/>
      <c r="Q73"/>
      <c r="R73"/>
      <c r="S73"/>
      <c r="T73"/>
      <c r="U73"/>
      <c r="V73"/>
      <c r="W73"/>
      <c r="X73"/>
      <c r="Y73"/>
      <c r="Z73"/>
      <c r="AA73"/>
      <c r="AB73"/>
      <c r="AC73"/>
      <c r="AD73"/>
      <c r="AE73"/>
    </row>
    <row r="74" spans="1:31" x14ac:dyDescent="0.25">
      <c r="A74"/>
      <c r="B74"/>
      <c r="C74"/>
      <c r="D74"/>
      <c r="E74"/>
      <c r="F74"/>
      <c r="G74"/>
      <c r="H74"/>
      <c r="I74"/>
      <c r="J74"/>
      <c r="K74"/>
      <c r="L74"/>
      <c r="M74"/>
      <c r="N74"/>
      <c r="O74"/>
      <c r="P74"/>
      <c r="Q74"/>
      <c r="R74"/>
      <c r="S74"/>
      <c r="T74"/>
      <c r="U74"/>
      <c r="V74"/>
      <c r="W74"/>
      <c r="X74"/>
      <c r="Y74"/>
      <c r="Z74"/>
      <c r="AA74"/>
      <c r="AB74"/>
      <c r="AC74"/>
      <c r="AD74"/>
      <c r="AE74"/>
    </row>
    <row r="75" spans="1:31" x14ac:dyDescent="0.25">
      <c r="A75"/>
      <c r="B75"/>
      <c r="C75"/>
      <c r="D75"/>
      <c r="E75"/>
      <c r="F75"/>
      <c r="G75"/>
      <c r="H75"/>
      <c r="I75"/>
      <c r="J75"/>
      <c r="K75"/>
      <c r="L75"/>
      <c r="M75"/>
      <c r="N75"/>
      <c r="O75"/>
      <c r="P75"/>
      <c r="Q75"/>
      <c r="R75"/>
      <c r="S75"/>
      <c r="T75"/>
      <c r="U75"/>
      <c r="V75"/>
      <c r="W75"/>
      <c r="X75"/>
      <c r="Y75"/>
      <c r="Z75"/>
      <c r="AA75"/>
      <c r="AB75"/>
      <c r="AC75"/>
      <c r="AD75"/>
      <c r="AE75"/>
    </row>
    <row r="76" spans="1:31" x14ac:dyDescent="0.25">
      <c r="A76"/>
      <c r="B76"/>
      <c r="C76"/>
      <c r="D76"/>
      <c r="E76"/>
      <c r="F76"/>
      <c r="G76"/>
      <c r="H76"/>
      <c r="I76"/>
      <c r="J76"/>
      <c r="K76"/>
      <c r="L76"/>
      <c r="M76"/>
      <c r="N76"/>
      <c r="O76"/>
      <c r="P76"/>
      <c r="Q76"/>
      <c r="R76"/>
      <c r="S76"/>
      <c r="T76"/>
      <c r="U76"/>
      <c r="V76"/>
      <c r="W76"/>
      <c r="X76"/>
      <c r="Y76"/>
      <c r="Z76"/>
      <c r="AA76"/>
      <c r="AB76"/>
      <c r="AC76"/>
      <c r="AD76"/>
      <c r="AE76"/>
    </row>
    <row r="77" spans="1:31" x14ac:dyDescent="0.25">
      <c r="A77"/>
      <c r="B77"/>
      <c r="C77"/>
      <c r="D77"/>
      <c r="E77"/>
      <c r="F77"/>
      <c r="G77"/>
      <c r="H77"/>
      <c r="I77"/>
      <c r="J77"/>
      <c r="K77"/>
      <c r="L77"/>
      <c r="M77"/>
      <c r="N77"/>
      <c r="O77"/>
      <c r="P77"/>
      <c r="Q77"/>
      <c r="R77"/>
      <c r="S77"/>
      <c r="T77"/>
      <c r="U77"/>
      <c r="V77"/>
      <c r="W77"/>
      <c r="X77"/>
      <c r="Y77"/>
      <c r="Z77"/>
      <c r="AA77"/>
      <c r="AB77"/>
      <c r="AC77"/>
      <c r="AD77"/>
      <c r="AE77"/>
    </row>
    <row r="78" spans="1:31" x14ac:dyDescent="0.25">
      <c r="A78"/>
      <c r="B78"/>
      <c r="C78"/>
      <c r="D78"/>
      <c r="E78"/>
      <c r="F78"/>
      <c r="G78"/>
      <c r="H78"/>
      <c r="I78"/>
      <c r="J78"/>
      <c r="K78"/>
      <c r="L78"/>
      <c r="M78"/>
      <c r="N78"/>
      <c r="O78"/>
      <c r="P78"/>
      <c r="Q78"/>
      <c r="R78"/>
      <c r="S78"/>
      <c r="T78"/>
      <c r="U78"/>
      <c r="V78"/>
      <c r="W78"/>
      <c r="X78"/>
      <c r="Y78"/>
      <c r="Z78"/>
      <c r="AA78"/>
      <c r="AB78"/>
      <c r="AC78"/>
      <c r="AD78"/>
      <c r="AE78"/>
    </row>
    <row r="79" spans="1:31" x14ac:dyDescent="0.25">
      <c r="A79"/>
      <c r="B79"/>
      <c r="C79"/>
      <c r="D79"/>
      <c r="E79"/>
      <c r="F79"/>
      <c r="G79"/>
      <c r="H79"/>
      <c r="I79"/>
      <c r="J79"/>
      <c r="K79"/>
      <c r="L79"/>
      <c r="M79"/>
      <c r="N79"/>
      <c r="O79"/>
      <c r="P79"/>
      <c r="Q79"/>
      <c r="R79"/>
      <c r="S79"/>
      <c r="T79"/>
      <c r="U79"/>
      <c r="V79"/>
      <c r="W79"/>
      <c r="X79"/>
      <c r="Y79"/>
      <c r="Z79"/>
      <c r="AA79"/>
      <c r="AB79"/>
      <c r="AC79"/>
      <c r="AD79"/>
      <c r="AE79"/>
    </row>
    <row r="80" spans="1:31" x14ac:dyDescent="0.25">
      <c r="A80"/>
      <c r="B80"/>
      <c r="C80"/>
      <c r="D80"/>
      <c r="E80"/>
      <c r="F80"/>
      <c r="G80"/>
      <c r="H80"/>
      <c r="I80"/>
      <c r="J80"/>
      <c r="K80"/>
      <c r="L80"/>
      <c r="M80"/>
      <c r="N80"/>
      <c r="O80"/>
      <c r="P80"/>
      <c r="Q80"/>
      <c r="R80"/>
      <c r="S80"/>
      <c r="T80"/>
      <c r="U80"/>
      <c r="V80"/>
      <c r="W80"/>
      <c r="X80"/>
      <c r="Y80"/>
      <c r="Z80"/>
      <c r="AA80"/>
      <c r="AB80"/>
      <c r="AC80"/>
      <c r="AD80"/>
      <c r="AE80"/>
    </row>
    <row r="81" spans="1:31" x14ac:dyDescent="0.25">
      <c r="A81"/>
      <c r="B81"/>
      <c r="C81"/>
      <c r="D81"/>
      <c r="E81"/>
      <c r="F81"/>
      <c r="G81"/>
      <c r="H81"/>
      <c r="I81"/>
      <c r="J81"/>
      <c r="K81"/>
      <c r="L81"/>
      <c r="M81"/>
      <c r="N81"/>
      <c r="O81"/>
      <c r="P81"/>
      <c r="Q81"/>
      <c r="R81"/>
      <c r="S81"/>
      <c r="T81"/>
      <c r="U81"/>
      <c r="V81"/>
      <c r="W81"/>
      <c r="X81"/>
      <c r="Y81"/>
      <c r="Z81"/>
      <c r="AA81"/>
      <c r="AB81"/>
      <c r="AC81"/>
      <c r="AD81"/>
      <c r="AE81"/>
    </row>
    <row r="82" spans="1:31" x14ac:dyDescent="0.25">
      <c r="A82"/>
      <c r="B82"/>
      <c r="C82"/>
      <c r="D82"/>
      <c r="E82"/>
      <c r="F82"/>
      <c r="G82"/>
      <c r="H82"/>
      <c r="I82"/>
      <c r="J82"/>
      <c r="K82"/>
      <c r="L82"/>
      <c r="M82"/>
      <c r="N82"/>
      <c r="O82"/>
      <c r="P82"/>
      <c r="Q82"/>
      <c r="R82"/>
      <c r="S82"/>
      <c r="T82"/>
      <c r="U82"/>
      <c r="V82"/>
      <c r="W82"/>
      <c r="X82"/>
      <c r="Y82"/>
      <c r="Z82"/>
      <c r="AA82"/>
      <c r="AB82"/>
      <c r="AC82"/>
      <c r="AD82"/>
      <c r="AE82"/>
    </row>
    <row r="83" spans="1:31" x14ac:dyDescent="0.25">
      <c r="A83"/>
      <c r="B83"/>
      <c r="C83"/>
      <c r="D83"/>
      <c r="E83"/>
      <c r="F83"/>
      <c r="G83"/>
      <c r="H83"/>
      <c r="I83"/>
      <c r="J83"/>
      <c r="K83"/>
      <c r="L83"/>
      <c r="M83"/>
      <c r="N83"/>
      <c r="O83"/>
      <c r="P83"/>
      <c r="Q83"/>
      <c r="R83"/>
      <c r="S83"/>
      <c r="T83"/>
      <c r="U83"/>
      <c r="V83"/>
      <c r="W83"/>
      <c r="X83"/>
      <c r="Y83"/>
      <c r="Z83"/>
      <c r="AA83"/>
      <c r="AB83"/>
      <c r="AC83"/>
      <c r="AD83"/>
      <c r="AE83"/>
    </row>
    <row r="84" spans="1:31" x14ac:dyDescent="0.25">
      <c r="A84"/>
      <c r="B84"/>
      <c r="C84"/>
      <c r="D84"/>
      <c r="E84"/>
      <c r="F84"/>
      <c r="G84"/>
      <c r="H84"/>
      <c r="I84"/>
      <c r="J84"/>
      <c r="K84"/>
      <c r="L84"/>
      <c r="M84"/>
      <c r="N84"/>
      <c r="O84"/>
      <c r="P84"/>
      <c r="Q84"/>
      <c r="R84"/>
      <c r="S84"/>
      <c r="T84"/>
      <c r="U84"/>
      <c r="V84"/>
      <c r="W84"/>
      <c r="X84"/>
      <c r="Y84"/>
      <c r="Z84"/>
      <c r="AA84"/>
      <c r="AB84"/>
      <c r="AC84"/>
      <c r="AD84"/>
      <c r="AE84"/>
    </row>
    <row r="85" spans="1:31" x14ac:dyDescent="0.25">
      <c r="A85"/>
      <c r="B85"/>
      <c r="C85"/>
      <c r="D85"/>
      <c r="E85"/>
      <c r="F85"/>
      <c r="G85"/>
      <c r="H85"/>
      <c r="I85"/>
      <c r="J85"/>
      <c r="K85"/>
      <c r="L85"/>
      <c r="M85"/>
      <c r="N85"/>
      <c r="O85"/>
      <c r="P85"/>
      <c r="Q85"/>
      <c r="R85"/>
      <c r="S85"/>
      <c r="T85"/>
      <c r="U85"/>
      <c r="V85"/>
      <c r="W85"/>
      <c r="X85"/>
      <c r="Y85"/>
      <c r="Z85"/>
      <c r="AA85"/>
      <c r="AB85"/>
      <c r="AC85"/>
      <c r="AD85"/>
      <c r="AE85"/>
    </row>
    <row r="86" spans="1:31" x14ac:dyDescent="0.25">
      <c r="A86"/>
      <c r="B86"/>
      <c r="C86"/>
      <c r="D86"/>
      <c r="E86"/>
      <c r="F86"/>
      <c r="G86"/>
      <c r="H86"/>
      <c r="I86"/>
      <c r="J86"/>
      <c r="K86"/>
      <c r="L86"/>
      <c r="M86"/>
      <c r="N86"/>
      <c r="O86"/>
      <c r="P86"/>
      <c r="Q86"/>
      <c r="R86"/>
      <c r="S86"/>
      <c r="T86"/>
      <c r="U86"/>
      <c r="V86"/>
      <c r="W86"/>
      <c r="X86"/>
      <c r="Y86"/>
      <c r="Z86"/>
      <c r="AA86"/>
      <c r="AB86"/>
      <c r="AC86"/>
      <c r="AD86"/>
      <c r="AE86"/>
    </row>
    <row r="87" spans="1:31" x14ac:dyDescent="0.25">
      <c r="A87"/>
      <c r="B87"/>
      <c r="C87"/>
      <c r="D87"/>
      <c r="E87"/>
      <c r="F87"/>
      <c r="G87"/>
      <c r="H87"/>
      <c r="I87"/>
      <c r="J87"/>
      <c r="K87"/>
      <c r="L87"/>
      <c r="M87"/>
      <c r="N87"/>
      <c r="O87"/>
      <c r="P87"/>
      <c r="Q87"/>
      <c r="R87"/>
      <c r="S87"/>
      <c r="T87"/>
      <c r="U87"/>
      <c r="V87"/>
      <c r="W87"/>
      <c r="X87"/>
      <c r="Y87"/>
      <c r="Z87"/>
      <c r="AA87"/>
      <c r="AB87"/>
      <c r="AC87"/>
      <c r="AD87"/>
      <c r="AE87"/>
    </row>
    <row r="88" spans="1:31" x14ac:dyDescent="0.25">
      <c r="A88"/>
      <c r="B88"/>
      <c r="C88"/>
      <c r="D88"/>
      <c r="E88"/>
      <c r="F88"/>
      <c r="G88"/>
      <c r="H88"/>
      <c r="I88"/>
      <c r="J88"/>
      <c r="K88"/>
      <c r="L88"/>
      <c r="M88"/>
      <c r="N88"/>
      <c r="O88"/>
      <c r="P88"/>
      <c r="Q88"/>
      <c r="R88"/>
      <c r="S88"/>
      <c r="T88"/>
      <c r="U88"/>
      <c r="V88"/>
      <c r="W88"/>
      <c r="X88"/>
      <c r="Y88"/>
      <c r="Z88"/>
      <c r="AA88"/>
      <c r="AB88"/>
      <c r="AC88"/>
      <c r="AD88"/>
      <c r="AE88"/>
    </row>
    <row r="89" spans="1:31" x14ac:dyDescent="0.25">
      <c r="A89"/>
      <c r="B89"/>
      <c r="C89"/>
      <c r="D89"/>
      <c r="E89"/>
      <c r="F89"/>
      <c r="G89"/>
      <c r="H89"/>
      <c r="I89"/>
      <c r="J89"/>
      <c r="K89"/>
      <c r="L89"/>
      <c r="M89"/>
      <c r="N89"/>
      <c r="O89"/>
      <c r="P89"/>
      <c r="Q89"/>
      <c r="R89"/>
      <c r="S89"/>
      <c r="T89"/>
      <c r="U89"/>
      <c r="V89"/>
      <c r="W89"/>
      <c r="X89"/>
      <c r="Y89"/>
      <c r="Z89"/>
      <c r="AA89"/>
      <c r="AB89"/>
      <c r="AC89"/>
      <c r="AD89"/>
      <c r="AE89"/>
    </row>
    <row r="90" spans="1:31" x14ac:dyDescent="0.25">
      <c r="A90"/>
      <c r="B90"/>
      <c r="C90"/>
      <c r="D90"/>
      <c r="E90"/>
      <c r="F90"/>
      <c r="G90"/>
      <c r="H90"/>
      <c r="I90"/>
      <c r="J90"/>
      <c r="K90"/>
      <c r="L90"/>
      <c r="M90"/>
      <c r="N90"/>
      <c r="O90"/>
      <c r="P90"/>
      <c r="Q90"/>
      <c r="R90"/>
      <c r="S90"/>
      <c r="T90"/>
      <c r="U90"/>
      <c r="V90"/>
      <c r="W90"/>
      <c r="X90"/>
      <c r="Y90"/>
      <c r="Z90"/>
      <c r="AA90"/>
      <c r="AB90"/>
      <c r="AC90"/>
      <c r="AD90"/>
      <c r="AE90"/>
    </row>
    <row r="91" spans="1:31" x14ac:dyDescent="0.25">
      <c r="A91"/>
      <c r="B91"/>
      <c r="C91"/>
      <c r="D91"/>
      <c r="E91"/>
      <c r="F91"/>
      <c r="G91"/>
      <c r="H91"/>
      <c r="I91"/>
      <c r="J91"/>
      <c r="K91"/>
      <c r="L91"/>
      <c r="M91"/>
      <c r="N91"/>
      <c r="O91"/>
      <c r="P91"/>
      <c r="Q91"/>
      <c r="R91"/>
      <c r="S91"/>
      <c r="T91"/>
      <c r="U91"/>
      <c r="V91"/>
      <c r="W91"/>
      <c r="X91"/>
      <c r="Y91"/>
      <c r="Z91"/>
      <c r="AA91"/>
      <c r="AB91"/>
      <c r="AC91"/>
      <c r="AD91"/>
      <c r="AE91"/>
    </row>
    <row r="92" spans="1:31" x14ac:dyDescent="0.25">
      <c r="A92"/>
      <c r="B92"/>
      <c r="C92"/>
      <c r="D92"/>
      <c r="E92"/>
      <c r="F92"/>
      <c r="G92"/>
      <c r="H92"/>
      <c r="I92"/>
      <c r="J92"/>
      <c r="K92"/>
      <c r="L92"/>
      <c r="M92"/>
      <c r="N92"/>
      <c r="O92"/>
      <c r="P92"/>
      <c r="Q92"/>
      <c r="R92"/>
      <c r="S92"/>
      <c r="T92"/>
      <c r="U92"/>
      <c r="V92"/>
      <c r="W92"/>
      <c r="X92"/>
      <c r="Y92"/>
      <c r="Z92"/>
      <c r="AA92"/>
      <c r="AB92"/>
      <c r="AC92"/>
      <c r="AD92"/>
      <c r="AE92"/>
    </row>
    <row r="93" spans="1:31" x14ac:dyDescent="0.25">
      <c r="A93"/>
      <c r="B93"/>
      <c r="C93"/>
      <c r="D93"/>
      <c r="E93"/>
      <c r="F93"/>
      <c r="G93"/>
      <c r="H93"/>
      <c r="I93"/>
      <c r="J93"/>
      <c r="K93"/>
      <c r="L93"/>
      <c r="M93"/>
      <c r="N93"/>
      <c r="O93"/>
      <c r="P93"/>
      <c r="Q93"/>
      <c r="R93"/>
      <c r="S93"/>
      <c r="T93"/>
      <c r="U93"/>
      <c r="V93"/>
      <c r="W93"/>
      <c r="X93"/>
      <c r="Y93"/>
      <c r="Z93"/>
      <c r="AA93"/>
      <c r="AB93"/>
      <c r="AC93"/>
      <c r="AD93"/>
      <c r="AE93"/>
    </row>
    <row r="94" spans="1:31" x14ac:dyDescent="0.25">
      <c r="A94"/>
      <c r="B94"/>
      <c r="C94"/>
      <c r="D94"/>
      <c r="E94"/>
      <c r="F94"/>
      <c r="G94"/>
      <c r="H94"/>
      <c r="I94"/>
      <c r="J94"/>
      <c r="K94"/>
      <c r="L94"/>
      <c r="M94"/>
      <c r="N94"/>
      <c r="O94"/>
      <c r="P94"/>
      <c r="Q94"/>
      <c r="R94"/>
      <c r="S94"/>
      <c r="T94"/>
      <c r="U94"/>
      <c r="V94"/>
      <c r="W94"/>
      <c r="X94"/>
      <c r="Y94"/>
      <c r="Z94"/>
      <c r="AA94"/>
      <c r="AB94"/>
      <c r="AC94"/>
      <c r="AD94"/>
      <c r="AE94"/>
    </row>
    <row r="95" spans="1:31" x14ac:dyDescent="0.25">
      <c r="A95"/>
      <c r="B95"/>
      <c r="C95"/>
      <c r="D95"/>
      <c r="E95"/>
      <c r="F95"/>
      <c r="G95"/>
      <c r="H95"/>
      <c r="I95"/>
      <c r="J95"/>
      <c r="K95"/>
      <c r="L95"/>
      <c r="M95"/>
      <c r="N95"/>
      <c r="O95"/>
      <c r="P95"/>
      <c r="Q95"/>
      <c r="R95"/>
      <c r="S95"/>
      <c r="T95"/>
      <c r="U95"/>
      <c r="V95"/>
      <c r="W95"/>
      <c r="X95"/>
      <c r="Y95"/>
      <c r="Z95"/>
      <c r="AA95"/>
      <c r="AB95"/>
      <c r="AC95"/>
      <c r="AD95"/>
      <c r="AE95"/>
    </row>
    <row r="96" spans="1:31" x14ac:dyDescent="0.25">
      <c r="A96"/>
      <c r="B96"/>
      <c r="C96"/>
      <c r="D96"/>
      <c r="E96"/>
      <c r="F96"/>
      <c r="G96"/>
      <c r="H96"/>
      <c r="I96"/>
      <c r="J96"/>
      <c r="K96"/>
      <c r="L96"/>
      <c r="M96"/>
      <c r="N96"/>
      <c r="O96"/>
      <c r="P96"/>
      <c r="Q96"/>
      <c r="R96"/>
      <c r="S96"/>
      <c r="T96"/>
      <c r="U96"/>
      <c r="V96"/>
      <c r="W96"/>
      <c r="X96"/>
      <c r="Y96"/>
      <c r="Z96"/>
      <c r="AA96"/>
      <c r="AB96"/>
      <c r="AC96"/>
      <c r="AD96"/>
      <c r="AE96"/>
    </row>
    <row r="97" spans="1:31" x14ac:dyDescent="0.25">
      <c r="A97"/>
      <c r="B97"/>
      <c r="C97"/>
      <c r="D97"/>
      <c r="E97"/>
      <c r="F97"/>
      <c r="G97"/>
      <c r="H97"/>
      <c r="I97"/>
      <c r="J97"/>
      <c r="K97"/>
      <c r="L97"/>
      <c r="M97"/>
      <c r="N97"/>
      <c r="O97"/>
      <c r="P97"/>
      <c r="Q97"/>
      <c r="R97"/>
      <c r="S97"/>
      <c r="T97"/>
      <c r="U97"/>
      <c r="V97"/>
      <c r="W97"/>
      <c r="X97"/>
      <c r="Y97"/>
      <c r="Z97"/>
      <c r="AA97"/>
      <c r="AB97"/>
      <c r="AC97"/>
      <c r="AD97"/>
      <c r="AE97"/>
    </row>
    <row r="98" spans="1:31" x14ac:dyDescent="0.25">
      <c r="A98"/>
      <c r="B98"/>
      <c r="C98"/>
      <c r="D98"/>
      <c r="E98"/>
      <c r="F98"/>
      <c r="G98"/>
      <c r="H98"/>
      <c r="I98"/>
      <c r="J98"/>
      <c r="K98"/>
      <c r="L98"/>
      <c r="M98"/>
      <c r="N98"/>
      <c r="O98"/>
      <c r="P98"/>
      <c r="Q98"/>
      <c r="R98"/>
      <c r="S98"/>
      <c r="T98"/>
      <c r="U98"/>
      <c r="V98"/>
      <c r="W98"/>
      <c r="X98"/>
      <c r="Y98"/>
      <c r="Z98"/>
      <c r="AA98"/>
      <c r="AB98"/>
      <c r="AC98"/>
      <c r="AD98"/>
      <c r="AE98"/>
    </row>
    <row r="99" spans="1:31" x14ac:dyDescent="0.25">
      <c r="A99"/>
      <c r="B99"/>
      <c r="C99"/>
      <c r="D99"/>
      <c r="E99"/>
      <c r="F99"/>
      <c r="G99"/>
      <c r="H99"/>
      <c r="I99"/>
      <c r="J99"/>
      <c r="K99"/>
      <c r="L99"/>
      <c r="M99"/>
      <c r="N99"/>
      <c r="O99"/>
      <c r="P99"/>
      <c r="Q99"/>
      <c r="R99"/>
      <c r="S99"/>
      <c r="T99"/>
      <c r="U99"/>
      <c r="V99"/>
      <c r="W99"/>
      <c r="X99"/>
      <c r="Y99"/>
      <c r="Z99"/>
      <c r="AA99"/>
      <c r="AB99"/>
      <c r="AC99"/>
      <c r="AD99"/>
      <c r="AE99"/>
    </row>
    <row r="100" spans="1:31" x14ac:dyDescent="0.25">
      <c r="A100"/>
      <c r="B100"/>
      <c r="C100"/>
      <c r="D100"/>
      <c r="E100"/>
      <c r="F100"/>
      <c r="G100"/>
      <c r="H100"/>
      <c r="I100"/>
      <c r="J100"/>
      <c r="K100"/>
      <c r="L100"/>
      <c r="M100"/>
      <c r="N100"/>
      <c r="O100"/>
      <c r="P100"/>
      <c r="Q100"/>
      <c r="R100"/>
      <c r="S100"/>
      <c r="T100"/>
      <c r="U100"/>
      <c r="V100"/>
      <c r="W100"/>
      <c r="X100"/>
      <c r="Y100"/>
      <c r="Z100"/>
      <c r="AA100"/>
      <c r="AB100"/>
      <c r="AC100"/>
      <c r="AD100"/>
      <c r="AE100"/>
    </row>
    <row r="101" spans="1:31" x14ac:dyDescent="0.25">
      <c r="A101"/>
      <c r="B101"/>
      <c r="C101"/>
      <c r="D101"/>
      <c r="E101"/>
      <c r="F101"/>
      <c r="G101"/>
      <c r="H101"/>
      <c r="I101"/>
      <c r="J101"/>
      <c r="K101"/>
      <c r="L101"/>
      <c r="M101"/>
      <c r="N101"/>
      <c r="O101"/>
      <c r="P101"/>
      <c r="Q101"/>
      <c r="R101"/>
      <c r="S101"/>
      <c r="T101"/>
      <c r="U101"/>
      <c r="V101"/>
      <c r="W101"/>
      <c r="X101"/>
      <c r="Y101"/>
      <c r="Z101"/>
      <c r="AA101"/>
      <c r="AB101"/>
      <c r="AC101"/>
      <c r="AD101"/>
      <c r="AE101"/>
    </row>
    <row r="102" spans="1:31" x14ac:dyDescent="0.25">
      <c r="A102"/>
      <c r="B102"/>
      <c r="C102"/>
      <c r="D102"/>
      <c r="E102"/>
      <c r="F102"/>
      <c r="G102"/>
      <c r="H102"/>
      <c r="I102"/>
      <c r="J102"/>
      <c r="K102"/>
      <c r="L102"/>
      <c r="M102"/>
      <c r="N102"/>
      <c r="O102"/>
      <c r="P102"/>
      <c r="Q102"/>
      <c r="R102"/>
      <c r="S102"/>
      <c r="T102"/>
      <c r="U102"/>
      <c r="V102"/>
      <c r="W102"/>
      <c r="X102"/>
      <c r="Y102"/>
      <c r="Z102"/>
      <c r="AA102"/>
      <c r="AB102"/>
      <c r="AC102"/>
      <c r="AD102"/>
      <c r="AE102"/>
    </row>
    <row r="103" spans="1:31" x14ac:dyDescent="0.25">
      <c r="A103"/>
      <c r="B103"/>
      <c r="C103"/>
      <c r="D103"/>
      <c r="E103"/>
      <c r="F103"/>
      <c r="G103"/>
      <c r="H103"/>
      <c r="I103"/>
      <c r="J103"/>
      <c r="K103"/>
      <c r="L103"/>
      <c r="M103"/>
      <c r="N103"/>
      <c r="O103"/>
      <c r="P103"/>
      <c r="Q103"/>
      <c r="R103"/>
      <c r="S103"/>
      <c r="T103"/>
      <c r="U103"/>
      <c r="V103"/>
      <c r="W103"/>
      <c r="X103"/>
      <c r="Y103"/>
      <c r="Z103"/>
      <c r="AA103"/>
      <c r="AB103"/>
      <c r="AC103"/>
      <c r="AD103"/>
      <c r="AE103"/>
    </row>
    <row r="104" spans="1:31" x14ac:dyDescent="0.25">
      <c r="A104"/>
      <c r="B104"/>
      <c r="C104"/>
      <c r="D104"/>
      <c r="E104"/>
      <c r="F104"/>
      <c r="G104"/>
      <c r="H104"/>
      <c r="I104"/>
      <c r="J104"/>
      <c r="K104"/>
      <c r="L104"/>
      <c r="M104"/>
      <c r="N104"/>
      <c r="O104"/>
      <c r="P104"/>
      <c r="Q104"/>
      <c r="R104"/>
      <c r="S104"/>
      <c r="T104"/>
      <c r="U104"/>
      <c r="V104"/>
      <c r="W104"/>
      <c r="X104"/>
      <c r="Y104"/>
      <c r="Z104"/>
      <c r="AA104"/>
      <c r="AB104"/>
      <c r="AC104"/>
      <c r="AD104"/>
      <c r="AE104"/>
    </row>
    <row r="105" spans="1:31" x14ac:dyDescent="0.25">
      <c r="A105"/>
      <c r="B105"/>
      <c r="C105"/>
      <c r="D105"/>
      <c r="E105"/>
      <c r="F105"/>
      <c r="G105"/>
      <c r="H105"/>
      <c r="I105"/>
      <c r="J105"/>
      <c r="K105"/>
      <c r="L105"/>
      <c r="M105"/>
      <c r="N105"/>
      <c r="O105"/>
      <c r="P105"/>
      <c r="Q105"/>
      <c r="R105"/>
      <c r="S105"/>
      <c r="T105"/>
      <c r="U105"/>
      <c r="V105"/>
      <c r="W105"/>
      <c r="X105"/>
      <c r="Y105"/>
      <c r="Z105"/>
      <c r="AA105"/>
      <c r="AB105"/>
      <c r="AC105"/>
      <c r="AD105"/>
      <c r="AE105"/>
    </row>
    <row r="106" spans="1:31" x14ac:dyDescent="0.25">
      <c r="A106"/>
      <c r="B106"/>
      <c r="C106"/>
      <c r="D106"/>
      <c r="E106"/>
      <c r="F106"/>
      <c r="G106"/>
      <c r="H106"/>
      <c r="I106"/>
      <c r="J106"/>
      <c r="K106"/>
      <c r="L106"/>
      <c r="M106"/>
      <c r="N106"/>
      <c r="O106"/>
      <c r="P106"/>
      <c r="Q106"/>
      <c r="R106"/>
      <c r="S106"/>
      <c r="T106"/>
      <c r="U106"/>
      <c r="V106"/>
      <c r="W106"/>
      <c r="X106"/>
      <c r="Y106"/>
      <c r="Z106"/>
      <c r="AA106"/>
      <c r="AB106"/>
      <c r="AC106"/>
      <c r="AD106"/>
      <c r="AE106"/>
    </row>
    <row r="107" spans="1:31" x14ac:dyDescent="0.25">
      <c r="A107"/>
      <c r="B107"/>
      <c r="C107"/>
      <c r="D107"/>
      <c r="E107"/>
      <c r="F107"/>
      <c r="G107"/>
      <c r="H107"/>
      <c r="I107"/>
      <c r="J107"/>
      <c r="K107"/>
      <c r="L107"/>
      <c r="M107"/>
      <c r="N107"/>
      <c r="O107"/>
      <c r="P107"/>
      <c r="Q107"/>
      <c r="R107"/>
      <c r="S107"/>
      <c r="T107"/>
      <c r="U107"/>
      <c r="V107"/>
      <c r="W107"/>
      <c r="X107"/>
      <c r="Y107"/>
      <c r="Z107"/>
      <c r="AA107"/>
      <c r="AB107"/>
      <c r="AC107"/>
      <c r="AD107"/>
      <c r="AE107"/>
    </row>
    <row r="108" spans="1:31" x14ac:dyDescent="0.25">
      <c r="A108"/>
      <c r="B108"/>
      <c r="C108"/>
      <c r="D108"/>
      <c r="E108"/>
      <c r="F108"/>
      <c r="G108"/>
      <c r="H108"/>
      <c r="I108"/>
      <c r="J108"/>
      <c r="K108"/>
      <c r="L108"/>
      <c r="M108"/>
      <c r="N108"/>
      <c r="O108"/>
      <c r="P108"/>
      <c r="Q108"/>
      <c r="R108"/>
      <c r="S108"/>
      <c r="T108"/>
      <c r="U108"/>
      <c r="V108"/>
      <c r="W108"/>
      <c r="X108"/>
      <c r="Y108"/>
      <c r="Z108"/>
      <c r="AA108"/>
      <c r="AB108"/>
      <c r="AC108"/>
      <c r="AD108"/>
      <c r="AE108"/>
    </row>
    <row r="109" spans="1:31" x14ac:dyDescent="0.25">
      <c r="A109"/>
      <c r="B109"/>
      <c r="C109"/>
      <c r="D109"/>
      <c r="E109"/>
      <c r="F109"/>
      <c r="G109"/>
      <c r="H109"/>
      <c r="I109"/>
      <c r="J109"/>
      <c r="K109"/>
      <c r="L109"/>
      <c r="M109"/>
      <c r="N109"/>
      <c r="O109"/>
      <c r="P109"/>
      <c r="Q109"/>
      <c r="R109"/>
      <c r="S109"/>
      <c r="T109"/>
      <c r="U109"/>
      <c r="V109"/>
      <c r="W109"/>
      <c r="X109"/>
      <c r="Y109"/>
      <c r="Z109"/>
      <c r="AA109"/>
      <c r="AB109"/>
      <c r="AC109"/>
      <c r="AD109"/>
      <c r="AE109"/>
    </row>
    <row r="110" spans="1:31" x14ac:dyDescent="0.25">
      <c r="A110"/>
      <c r="B110"/>
      <c r="C110"/>
      <c r="D110"/>
      <c r="E110"/>
      <c r="F110"/>
      <c r="G110"/>
      <c r="H110"/>
      <c r="I110"/>
      <c r="J110"/>
      <c r="K110"/>
      <c r="L110"/>
      <c r="M110"/>
      <c r="N110"/>
      <c r="O110"/>
      <c r="P110"/>
      <c r="Q110"/>
      <c r="R110"/>
      <c r="S110"/>
      <c r="T110"/>
      <c r="U110"/>
      <c r="V110"/>
      <c r="W110"/>
      <c r="X110"/>
      <c r="Y110"/>
      <c r="Z110"/>
      <c r="AA110"/>
      <c r="AB110"/>
      <c r="AC110"/>
      <c r="AD110"/>
      <c r="AE110"/>
    </row>
    <row r="111" spans="1:31" x14ac:dyDescent="0.25">
      <c r="A111"/>
      <c r="B111"/>
      <c r="C111"/>
      <c r="D111"/>
      <c r="E111"/>
      <c r="F111"/>
      <c r="G111"/>
      <c r="H111"/>
      <c r="I111"/>
      <c r="J111"/>
      <c r="K111"/>
      <c r="L111"/>
      <c r="M111"/>
      <c r="N111"/>
      <c r="O111"/>
      <c r="P111"/>
      <c r="Q111"/>
      <c r="R111"/>
      <c r="S111"/>
      <c r="T111"/>
      <c r="U111"/>
      <c r="V111"/>
      <c r="W111"/>
      <c r="X111"/>
      <c r="Y111"/>
      <c r="Z111"/>
      <c r="AA111"/>
      <c r="AB111"/>
      <c r="AC111"/>
      <c r="AD111"/>
      <c r="AE111"/>
    </row>
    <row r="112" spans="1:31" x14ac:dyDescent="0.25">
      <c r="A112"/>
      <c r="B112"/>
      <c r="C112"/>
      <c r="D112"/>
      <c r="E112"/>
      <c r="F112"/>
      <c r="G112"/>
      <c r="H112"/>
      <c r="I112"/>
      <c r="J112"/>
      <c r="K112"/>
      <c r="L112"/>
      <c r="M112"/>
      <c r="N112"/>
      <c r="O112"/>
      <c r="P112"/>
      <c r="Q112"/>
      <c r="R112"/>
      <c r="S112"/>
      <c r="T112"/>
      <c r="U112"/>
      <c r="V112"/>
      <c r="W112"/>
      <c r="X112"/>
      <c r="Y112"/>
      <c r="Z112"/>
      <c r="AA112"/>
      <c r="AB112"/>
      <c r="AC112"/>
      <c r="AD112"/>
      <c r="AE112"/>
    </row>
    <row r="113" spans="1:31" x14ac:dyDescent="0.25">
      <c r="A113"/>
      <c r="B113"/>
      <c r="C113"/>
      <c r="D113"/>
      <c r="E113"/>
      <c r="F113"/>
      <c r="G113"/>
      <c r="H113"/>
      <c r="I113"/>
      <c r="J113"/>
      <c r="K113"/>
      <c r="L113"/>
      <c r="M113"/>
      <c r="N113"/>
      <c r="O113"/>
      <c r="P113"/>
      <c r="Q113"/>
      <c r="R113"/>
      <c r="S113"/>
      <c r="T113"/>
      <c r="U113"/>
      <c r="V113"/>
      <c r="W113"/>
      <c r="X113"/>
      <c r="Y113"/>
      <c r="Z113"/>
      <c r="AA113"/>
      <c r="AB113"/>
      <c r="AC113"/>
      <c r="AD113"/>
      <c r="AE113"/>
    </row>
    <row r="114" spans="1:31" x14ac:dyDescent="0.25">
      <c r="A114"/>
      <c r="B114"/>
      <c r="C114"/>
      <c r="D114"/>
      <c r="E114"/>
      <c r="F114"/>
      <c r="G114"/>
      <c r="H114"/>
      <c r="I114"/>
      <c r="J114"/>
      <c r="K114"/>
      <c r="L114"/>
      <c r="M114"/>
      <c r="N114"/>
      <c r="O114"/>
      <c r="P114"/>
      <c r="Q114"/>
      <c r="R114"/>
      <c r="S114"/>
      <c r="T114"/>
      <c r="U114"/>
      <c r="V114"/>
      <c r="W114"/>
      <c r="X114"/>
      <c r="Y114"/>
      <c r="Z114"/>
      <c r="AA114"/>
      <c r="AB114"/>
      <c r="AC114"/>
      <c r="AD114"/>
      <c r="AE114"/>
    </row>
    <row r="115" spans="1:31" x14ac:dyDescent="0.25">
      <c r="A115"/>
      <c r="B115"/>
      <c r="C115"/>
      <c r="D115"/>
      <c r="E115"/>
      <c r="F115"/>
      <c r="G115"/>
      <c r="H115"/>
      <c r="I115"/>
      <c r="J115"/>
      <c r="K115"/>
      <c r="L115"/>
      <c r="M115"/>
      <c r="N115"/>
      <c r="O115"/>
      <c r="P115"/>
      <c r="Q115"/>
      <c r="R115"/>
      <c r="S115"/>
      <c r="T115"/>
      <c r="U115"/>
      <c r="V115"/>
      <c r="W115"/>
      <c r="X115"/>
      <c r="Y115"/>
      <c r="Z115"/>
      <c r="AA115"/>
      <c r="AB115"/>
      <c r="AC115"/>
      <c r="AD115"/>
      <c r="AE115"/>
    </row>
    <row r="116" spans="1:31" x14ac:dyDescent="0.25">
      <c r="A116"/>
      <c r="B116"/>
      <c r="C116"/>
      <c r="D116"/>
      <c r="E116"/>
      <c r="F116"/>
      <c r="G116"/>
      <c r="H116"/>
      <c r="I116"/>
      <c r="J116"/>
      <c r="K116"/>
      <c r="L116"/>
      <c r="M116"/>
      <c r="N116"/>
      <c r="O116"/>
      <c r="P116"/>
      <c r="Q116"/>
      <c r="R116"/>
      <c r="S116"/>
      <c r="T116"/>
      <c r="U116"/>
      <c r="V116"/>
      <c r="W116"/>
      <c r="X116"/>
      <c r="Y116"/>
      <c r="Z116"/>
      <c r="AA116"/>
      <c r="AB116"/>
      <c r="AC116"/>
      <c r="AD116"/>
      <c r="AE116"/>
    </row>
    <row r="117" spans="1:31" x14ac:dyDescent="0.25">
      <c r="A117"/>
      <c r="B117"/>
      <c r="C117"/>
      <c r="D117"/>
      <c r="E117"/>
      <c r="F117"/>
      <c r="G117"/>
      <c r="H117"/>
      <c r="I117"/>
      <c r="J117"/>
      <c r="K117"/>
      <c r="L117"/>
      <c r="M117"/>
      <c r="N117"/>
      <c r="O117"/>
      <c r="P117"/>
      <c r="Q117"/>
      <c r="R117"/>
      <c r="S117"/>
      <c r="T117"/>
      <c r="U117"/>
      <c r="V117"/>
      <c r="W117"/>
      <c r="X117"/>
      <c r="Y117"/>
      <c r="Z117"/>
      <c r="AA117"/>
      <c r="AB117"/>
      <c r="AC117"/>
      <c r="AD117"/>
      <c r="AE117"/>
    </row>
    <row r="118" spans="1:31" x14ac:dyDescent="0.25">
      <c r="A118"/>
      <c r="B118"/>
      <c r="C118"/>
      <c r="D118"/>
      <c r="E118"/>
      <c r="F118"/>
      <c r="G118"/>
      <c r="H118"/>
      <c r="I118"/>
      <c r="J118"/>
      <c r="K118"/>
      <c r="L118"/>
      <c r="M118"/>
      <c r="N118"/>
      <c r="O118"/>
      <c r="P118"/>
      <c r="Q118"/>
      <c r="R118"/>
      <c r="S118"/>
      <c r="T118"/>
      <c r="U118"/>
      <c r="V118"/>
      <c r="W118"/>
      <c r="X118"/>
      <c r="Y118"/>
      <c r="Z118"/>
      <c r="AA118"/>
      <c r="AB118"/>
      <c r="AC118"/>
      <c r="AD118"/>
      <c r="AE118"/>
    </row>
    <row r="119" spans="1:31" x14ac:dyDescent="0.25">
      <c r="A119"/>
      <c r="B119"/>
      <c r="C119"/>
      <c r="D119"/>
      <c r="E119"/>
      <c r="F119"/>
      <c r="G119"/>
      <c r="H119"/>
      <c r="I119"/>
      <c r="J119"/>
      <c r="K119"/>
      <c r="L119"/>
      <c r="M119"/>
      <c r="N119"/>
      <c r="O119"/>
      <c r="P119"/>
      <c r="Q119"/>
      <c r="R119"/>
      <c r="S119"/>
      <c r="T119"/>
      <c r="U119"/>
      <c r="V119"/>
      <c r="W119"/>
      <c r="X119"/>
      <c r="Y119"/>
      <c r="Z119"/>
      <c r="AA119"/>
      <c r="AB119"/>
      <c r="AC119"/>
      <c r="AD119"/>
      <c r="AE119"/>
    </row>
    <row r="120" spans="1:31" x14ac:dyDescent="0.25">
      <c r="A120"/>
      <c r="B120"/>
      <c r="C120"/>
      <c r="D120"/>
      <c r="E120"/>
      <c r="F120"/>
      <c r="G120"/>
      <c r="H120"/>
      <c r="I120"/>
      <c r="J120"/>
      <c r="K120"/>
      <c r="L120"/>
      <c r="M120"/>
      <c r="N120"/>
      <c r="O120"/>
      <c r="P120"/>
      <c r="Q120"/>
      <c r="R120"/>
      <c r="S120"/>
      <c r="T120"/>
      <c r="U120"/>
      <c r="V120"/>
      <c r="W120"/>
      <c r="X120"/>
      <c r="Y120"/>
      <c r="Z120"/>
      <c r="AA120"/>
      <c r="AB120"/>
      <c r="AC120"/>
      <c r="AD120"/>
      <c r="AE120"/>
    </row>
    <row r="121" spans="1:31" x14ac:dyDescent="0.25">
      <c r="A121"/>
      <c r="B121"/>
      <c r="C121"/>
      <c r="D121"/>
      <c r="E121"/>
      <c r="F121"/>
      <c r="G121"/>
      <c r="H121"/>
      <c r="I121"/>
      <c r="J121"/>
      <c r="K121"/>
      <c r="L121"/>
      <c r="M121"/>
      <c r="N121"/>
      <c r="O121"/>
      <c r="P121"/>
      <c r="Q121"/>
      <c r="R121"/>
      <c r="S121"/>
      <c r="T121"/>
      <c r="U121"/>
      <c r="V121"/>
      <c r="W121"/>
      <c r="X121"/>
      <c r="Y121"/>
      <c r="Z121"/>
      <c r="AA121"/>
      <c r="AB121"/>
      <c r="AC121"/>
      <c r="AD121"/>
      <c r="AE121"/>
    </row>
    <row r="122" spans="1:31" x14ac:dyDescent="0.25">
      <c r="A122"/>
      <c r="B122"/>
      <c r="C122"/>
      <c r="D122"/>
      <c r="E122"/>
      <c r="F122"/>
      <c r="G122"/>
      <c r="H122"/>
      <c r="I122"/>
      <c r="J122"/>
      <c r="K122"/>
      <c r="L122"/>
      <c r="M122"/>
      <c r="N122"/>
      <c r="O122"/>
      <c r="P122"/>
      <c r="Q122"/>
      <c r="R122"/>
      <c r="S122"/>
      <c r="T122"/>
      <c r="U122"/>
      <c r="V122"/>
      <c r="W122"/>
      <c r="X122"/>
      <c r="Y122"/>
      <c r="Z122"/>
      <c r="AA122"/>
      <c r="AB122"/>
      <c r="AC122"/>
      <c r="AD122"/>
      <c r="AE122"/>
    </row>
    <row r="123" spans="1:31" x14ac:dyDescent="0.25">
      <c r="A123"/>
      <c r="B123"/>
      <c r="C123"/>
      <c r="D123"/>
      <c r="E123"/>
      <c r="F123"/>
      <c r="G123"/>
      <c r="H123"/>
      <c r="I123"/>
      <c r="J123"/>
      <c r="K123"/>
      <c r="L123"/>
      <c r="M123"/>
      <c r="N123"/>
      <c r="O123"/>
      <c r="P123"/>
      <c r="Q123"/>
      <c r="R123"/>
      <c r="S123"/>
      <c r="T123"/>
      <c r="U123"/>
      <c r="V123"/>
      <c r="W123"/>
      <c r="X123"/>
      <c r="Y123"/>
      <c r="Z123"/>
      <c r="AA123"/>
      <c r="AB123"/>
      <c r="AC123"/>
      <c r="AD123"/>
      <c r="AE123"/>
    </row>
    <row r="124" spans="1:31" x14ac:dyDescent="0.25">
      <c r="A124"/>
      <c r="B124"/>
      <c r="C124"/>
      <c r="D124"/>
      <c r="E124"/>
      <c r="F124"/>
      <c r="G124"/>
      <c r="H124"/>
      <c r="I124"/>
      <c r="J124"/>
      <c r="K124"/>
      <c r="L124"/>
      <c r="M124"/>
      <c r="N124"/>
      <c r="O124"/>
      <c r="P124"/>
      <c r="Q124"/>
      <c r="R124"/>
      <c r="S124"/>
      <c r="T124"/>
      <c r="U124"/>
      <c r="V124"/>
      <c r="W124"/>
      <c r="X124"/>
      <c r="Y124"/>
      <c r="Z124"/>
      <c r="AA124"/>
      <c r="AB124"/>
      <c r="AC124"/>
      <c r="AD124"/>
      <c r="AE124"/>
    </row>
    <row r="125" spans="1:31" x14ac:dyDescent="0.25">
      <c r="A125"/>
      <c r="B125"/>
      <c r="C125"/>
      <c r="D125"/>
      <c r="E125"/>
      <c r="F125"/>
      <c r="G125"/>
      <c r="H125"/>
      <c r="I125"/>
      <c r="J125"/>
      <c r="K125"/>
      <c r="L125"/>
      <c r="M125"/>
      <c r="N125"/>
      <c r="O125"/>
      <c r="P125"/>
      <c r="Q125"/>
      <c r="R125"/>
      <c r="S125"/>
      <c r="T125"/>
      <c r="U125"/>
      <c r="V125"/>
      <c r="W125"/>
      <c r="X125"/>
      <c r="Y125"/>
      <c r="Z125"/>
      <c r="AA125"/>
      <c r="AB125"/>
      <c r="AC125"/>
      <c r="AD125"/>
      <c r="AE125"/>
    </row>
    <row r="126" spans="1:31" x14ac:dyDescent="0.25">
      <c r="A126"/>
      <c r="B126"/>
      <c r="C126"/>
      <c r="D126"/>
      <c r="E126"/>
      <c r="F126"/>
      <c r="G126"/>
      <c r="H126"/>
      <c r="I126"/>
      <c r="J126"/>
      <c r="K126"/>
      <c r="L126"/>
      <c r="M126"/>
      <c r="N126"/>
      <c r="O126"/>
      <c r="P126"/>
      <c r="Q126"/>
      <c r="R126"/>
      <c r="S126"/>
      <c r="T126"/>
      <c r="U126"/>
      <c r="V126"/>
      <c r="W126"/>
      <c r="X126"/>
      <c r="Y126"/>
      <c r="Z126"/>
      <c r="AA126"/>
      <c r="AB126"/>
      <c r="AC126"/>
      <c r="AD126"/>
      <c r="AE126"/>
    </row>
    <row r="127" spans="1:31" x14ac:dyDescent="0.25">
      <c r="A127"/>
      <c r="B127"/>
      <c r="C127"/>
      <c r="D127"/>
      <c r="E127"/>
      <c r="F127"/>
      <c r="G127"/>
      <c r="H127"/>
      <c r="I127"/>
      <c r="J127"/>
      <c r="K127"/>
      <c r="L127"/>
      <c r="M127"/>
      <c r="N127"/>
      <c r="O127"/>
      <c r="P127"/>
      <c r="Q127"/>
      <c r="R127"/>
      <c r="S127"/>
      <c r="T127"/>
      <c r="U127"/>
      <c r="V127"/>
      <c r="W127"/>
      <c r="X127"/>
      <c r="Y127"/>
      <c r="Z127"/>
      <c r="AA127"/>
      <c r="AB127"/>
      <c r="AC127"/>
      <c r="AD127"/>
      <c r="AE127"/>
    </row>
    <row r="128" spans="1:31" x14ac:dyDescent="0.25">
      <c r="A128"/>
      <c r="B128"/>
      <c r="C128"/>
      <c r="D128"/>
      <c r="E128"/>
      <c r="F128"/>
      <c r="G128"/>
      <c r="H128"/>
      <c r="I128"/>
      <c r="J128"/>
      <c r="K128"/>
      <c r="L128"/>
      <c r="M128"/>
      <c r="N128"/>
      <c r="O128"/>
      <c r="P128"/>
      <c r="Q128"/>
      <c r="R128"/>
      <c r="S128"/>
      <c r="T128"/>
      <c r="U128"/>
      <c r="V128"/>
      <c r="W128"/>
      <c r="X128"/>
      <c r="Y128"/>
      <c r="Z128"/>
      <c r="AA128"/>
      <c r="AB128"/>
      <c r="AC128"/>
      <c r="AD128"/>
      <c r="AE128"/>
    </row>
    <row r="129" spans="1:31" x14ac:dyDescent="0.25">
      <c r="A129"/>
      <c r="B129"/>
      <c r="C129"/>
      <c r="D129"/>
      <c r="E129"/>
      <c r="F129"/>
      <c r="G129"/>
      <c r="H129"/>
      <c r="I129"/>
      <c r="J129"/>
      <c r="K129"/>
      <c r="L129"/>
      <c r="M129"/>
      <c r="N129"/>
      <c r="O129"/>
      <c r="P129"/>
      <c r="Q129"/>
      <c r="R129"/>
      <c r="S129"/>
      <c r="T129"/>
      <c r="U129"/>
      <c r="V129"/>
      <c r="W129"/>
      <c r="X129"/>
      <c r="Y129"/>
      <c r="Z129"/>
      <c r="AA129"/>
      <c r="AB129"/>
      <c r="AC129"/>
      <c r="AD129"/>
      <c r="AE129"/>
    </row>
    <row r="130" spans="1:31" x14ac:dyDescent="0.25">
      <c r="A130"/>
      <c r="B130"/>
      <c r="C130"/>
      <c r="D130"/>
      <c r="E130"/>
      <c r="F130"/>
      <c r="G130"/>
      <c r="H130"/>
      <c r="I130"/>
      <c r="J130"/>
      <c r="K130"/>
      <c r="L130"/>
      <c r="M130"/>
      <c r="N130"/>
      <c r="O130"/>
      <c r="P130"/>
      <c r="Q130"/>
      <c r="R130"/>
      <c r="S130"/>
      <c r="T130"/>
      <c r="U130"/>
      <c r="V130"/>
      <c r="W130"/>
      <c r="X130"/>
      <c r="Y130"/>
      <c r="Z130"/>
      <c r="AA130"/>
      <c r="AB130"/>
      <c r="AC130"/>
      <c r="AD130"/>
      <c r="AE130"/>
    </row>
    <row r="131" spans="1:31" x14ac:dyDescent="0.25">
      <c r="A131"/>
      <c r="B131"/>
      <c r="C131"/>
      <c r="D131"/>
      <c r="E131"/>
      <c r="F131"/>
      <c r="G131"/>
      <c r="H131"/>
      <c r="I131"/>
      <c r="J131"/>
      <c r="K131"/>
      <c r="L131"/>
      <c r="M131"/>
      <c r="N131"/>
      <c r="O131"/>
      <c r="P131"/>
      <c r="Q131"/>
      <c r="R131"/>
      <c r="S131"/>
      <c r="T131"/>
      <c r="U131"/>
      <c r="V131"/>
      <c r="W131"/>
      <c r="X131"/>
      <c r="Y131"/>
      <c r="Z131"/>
      <c r="AA131"/>
      <c r="AB131"/>
      <c r="AC131"/>
      <c r="AD131"/>
      <c r="AE131"/>
    </row>
    <row r="132" spans="1:31" x14ac:dyDescent="0.25">
      <c r="A132"/>
      <c r="B132"/>
      <c r="C132"/>
      <c r="D132"/>
      <c r="E132"/>
      <c r="F132"/>
      <c r="G132"/>
      <c r="H132"/>
      <c r="I132"/>
      <c r="J132"/>
      <c r="K132"/>
      <c r="L132"/>
      <c r="M132"/>
      <c r="N132"/>
      <c r="O132"/>
      <c r="P132"/>
      <c r="Q132"/>
      <c r="R132"/>
      <c r="S132"/>
      <c r="T132"/>
      <c r="U132"/>
      <c r="V132"/>
      <c r="W132"/>
      <c r="X132"/>
      <c r="Y132"/>
      <c r="Z132"/>
      <c r="AA132"/>
      <c r="AB132"/>
      <c r="AC132"/>
      <c r="AD132"/>
      <c r="AE132"/>
    </row>
    <row r="133" spans="1:31" x14ac:dyDescent="0.25">
      <c r="A133"/>
      <c r="B133"/>
      <c r="C133"/>
      <c r="D133"/>
      <c r="E133"/>
      <c r="F133"/>
      <c r="G133"/>
      <c r="H133"/>
      <c r="I133"/>
      <c r="J133"/>
      <c r="K133"/>
      <c r="L133"/>
      <c r="M133"/>
      <c r="N133"/>
      <c r="O133"/>
      <c r="P133"/>
      <c r="Q133"/>
      <c r="R133"/>
      <c r="S133"/>
      <c r="T133"/>
      <c r="U133"/>
      <c r="V133"/>
      <c r="W133"/>
      <c r="X133"/>
      <c r="Y133"/>
      <c r="Z133"/>
      <c r="AA133"/>
      <c r="AB133"/>
      <c r="AC133"/>
      <c r="AD133"/>
      <c r="AE133"/>
    </row>
    <row r="134" spans="1:31" x14ac:dyDescent="0.25">
      <c r="A134"/>
      <c r="B134"/>
      <c r="C134"/>
      <c r="D134"/>
      <c r="E134"/>
      <c r="F134"/>
      <c r="G134"/>
      <c r="H134"/>
      <c r="I134"/>
      <c r="J134"/>
      <c r="K134"/>
      <c r="L134"/>
      <c r="M134"/>
      <c r="N134"/>
      <c r="O134"/>
      <c r="P134"/>
      <c r="Q134"/>
      <c r="R134"/>
      <c r="S134"/>
      <c r="T134"/>
      <c r="U134"/>
      <c r="V134"/>
      <c r="W134"/>
      <c r="X134"/>
      <c r="Y134"/>
      <c r="Z134"/>
      <c r="AA134"/>
      <c r="AB134"/>
      <c r="AC134"/>
      <c r="AD134"/>
      <c r="AE134"/>
    </row>
    <row r="135" spans="1:31" x14ac:dyDescent="0.25">
      <c r="A135"/>
      <c r="B135"/>
      <c r="C135"/>
      <c r="D135"/>
      <c r="E135"/>
      <c r="F135"/>
      <c r="G135"/>
      <c r="H135"/>
      <c r="I135"/>
      <c r="J135"/>
      <c r="K135"/>
      <c r="L135"/>
      <c r="M135"/>
      <c r="N135"/>
      <c r="O135"/>
      <c r="P135"/>
      <c r="Q135"/>
      <c r="R135"/>
      <c r="S135"/>
      <c r="T135"/>
      <c r="U135"/>
      <c r="V135"/>
      <c r="W135"/>
      <c r="X135"/>
      <c r="Y135"/>
      <c r="Z135"/>
      <c r="AA135"/>
      <c r="AB135"/>
      <c r="AC135"/>
      <c r="AD135"/>
      <c r="AE135"/>
    </row>
    <row r="136" spans="1:31" x14ac:dyDescent="0.25">
      <c r="A136"/>
      <c r="B136"/>
      <c r="C136"/>
      <c r="D136"/>
      <c r="E136"/>
      <c r="F136"/>
      <c r="G136"/>
      <c r="H136"/>
      <c r="I136"/>
      <c r="J136"/>
      <c r="K136"/>
      <c r="L136"/>
      <c r="M136"/>
      <c r="N136"/>
      <c r="O136"/>
      <c r="P136"/>
      <c r="Q136"/>
      <c r="R136"/>
      <c r="S136"/>
      <c r="T136"/>
      <c r="U136"/>
      <c r="V136"/>
      <c r="W136"/>
      <c r="X136"/>
      <c r="Y136"/>
      <c r="Z136"/>
      <c r="AA136"/>
      <c r="AB136"/>
      <c r="AC136"/>
      <c r="AD136"/>
      <c r="AE136"/>
    </row>
    <row r="137" spans="1:31" x14ac:dyDescent="0.25">
      <c r="A137"/>
      <c r="B137"/>
      <c r="C137"/>
      <c r="D137"/>
      <c r="E137"/>
      <c r="F137"/>
      <c r="G137"/>
      <c r="H137"/>
      <c r="I137"/>
      <c r="J137"/>
      <c r="K137"/>
      <c r="L137"/>
      <c r="M137"/>
      <c r="N137"/>
      <c r="O137"/>
      <c r="P137"/>
      <c r="Q137"/>
      <c r="R137"/>
      <c r="S137"/>
      <c r="T137"/>
      <c r="U137"/>
      <c r="V137"/>
      <c r="W137"/>
      <c r="X137"/>
      <c r="Y137"/>
      <c r="Z137"/>
      <c r="AA137"/>
      <c r="AB137"/>
      <c r="AC137"/>
      <c r="AD137"/>
      <c r="AE137"/>
    </row>
    <row r="138" spans="1:31" x14ac:dyDescent="0.25">
      <c r="A138"/>
      <c r="B138"/>
      <c r="C138"/>
      <c r="D138"/>
      <c r="E138"/>
      <c r="F138"/>
      <c r="G138"/>
      <c r="H138"/>
      <c r="I138"/>
      <c r="J138"/>
      <c r="K138"/>
      <c r="L138"/>
      <c r="M138"/>
      <c r="N138"/>
      <c r="O138"/>
      <c r="P138"/>
      <c r="Q138"/>
      <c r="R138"/>
      <c r="S138"/>
      <c r="T138"/>
      <c r="U138"/>
      <c r="V138"/>
      <c r="W138"/>
      <c r="X138"/>
      <c r="Y138"/>
      <c r="Z138"/>
      <c r="AA138"/>
      <c r="AB138"/>
      <c r="AC138"/>
      <c r="AD138"/>
      <c r="AE138"/>
    </row>
    <row r="139" spans="1:31" x14ac:dyDescent="0.25">
      <c r="A139"/>
      <c r="B139"/>
      <c r="C139"/>
      <c r="D139"/>
      <c r="E139"/>
      <c r="F139"/>
      <c r="G139"/>
      <c r="H139"/>
      <c r="I139"/>
      <c r="J139"/>
      <c r="K139"/>
      <c r="L139"/>
      <c r="M139"/>
      <c r="N139"/>
      <c r="O139"/>
      <c r="P139"/>
      <c r="Q139"/>
      <c r="R139"/>
      <c r="S139"/>
      <c r="T139"/>
      <c r="U139"/>
      <c r="V139"/>
      <c r="W139"/>
      <c r="X139"/>
      <c r="Y139"/>
      <c r="Z139"/>
      <c r="AA139"/>
      <c r="AB139"/>
      <c r="AC139"/>
      <c r="AD139"/>
      <c r="AE139"/>
    </row>
    <row r="140" spans="1:31" x14ac:dyDescent="0.25">
      <c r="A140"/>
      <c r="B140"/>
      <c r="C140"/>
      <c r="D140"/>
      <c r="E140"/>
      <c r="F140"/>
      <c r="G140"/>
      <c r="H140"/>
      <c r="I140"/>
      <c r="J140"/>
      <c r="K140"/>
      <c r="L140"/>
      <c r="M140"/>
      <c r="N140"/>
      <c r="O140"/>
      <c r="P140"/>
      <c r="Q140"/>
      <c r="R140"/>
      <c r="S140"/>
      <c r="T140"/>
      <c r="U140"/>
      <c r="V140"/>
      <c r="W140"/>
      <c r="X140"/>
      <c r="Y140"/>
      <c r="Z140"/>
      <c r="AA140"/>
      <c r="AB140"/>
      <c r="AC140"/>
      <c r="AD140"/>
      <c r="AE140"/>
    </row>
    <row r="141" spans="1:31" x14ac:dyDescent="0.25">
      <c r="A141"/>
      <c r="B141"/>
      <c r="C141"/>
      <c r="D141"/>
      <c r="E141"/>
      <c r="F141"/>
      <c r="G141"/>
      <c r="H141"/>
      <c r="I141"/>
      <c r="J141"/>
      <c r="K141"/>
      <c r="L141"/>
      <c r="M141"/>
      <c r="N141"/>
      <c r="O141"/>
      <c r="P141"/>
      <c r="Q141"/>
      <c r="R141"/>
      <c r="S141"/>
      <c r="T141"/>
      <c r="U141"/>
      <c r="V141"/>
      <c r="W141"/>
      <c r="X141"/>
      <c r="Y141"/>
      <c r="Z141"/>
      <c r="AA141"/>
      <c r="AB141"/>
      <c r="AC141"/>
      <c r="AD141"/>
      <c r="AE141"/>
    </row>
    <row r="142" spans="1:31" x14ac:dyDescent="0.25">
      <c r="A142"/>
      <c r="B142"/>
      <c r="C142"/>
      <c r="D142"/>
      <c r="E142"/>
      <c r="F142"/>
      <c r="G142"/>
      <c r="H142"/>
      <c r="I142"/>
      <c r="J142"/>
      <c r="K142"/>
      <c r="L142"/>
      <c r="M142"/>
      <c r="N142"/>
      <c r="O142"/>
      <c r="P142"/>
      <c r="Q142"/>
      <c r="R142"/>
      <c r="S142"/>
      <c r="T142"/>
      <c r="U142"/>
      <c r="V142"/>
      <c r="W142"/>
      <c r="X142"/>
      <c r="Y142"/>
      <c r="Z142"/>
      <c r="AA142"/>
      <c r="AB142"/>
      <c r="AC142"/>
      <c r="AD142"/>
      <c r="AE142"/>
    </row>
    <row r="143" spans="1:31" x14ac:dyDescent="0.25">
      <c r="A143"/>
      <c r="B143"/>
      <c r="C143"/>
      <c r="D143"/>
      <c r="E143"/>
      <c r="F143"/>
      <c r="G143"/>
      <c r="H143"/>
      <c r="I143"/>
      <c r="J143"/>
      <c r="K143"/>
      <c r="L143"/>
      <c r="M143"/>
      <c r="N143"/>
      <c r="O143"/>
      <c r="P143"/>
      <c r="Q143"/>
      <c r="R143"/>
      <c r="S143"/>
      <c r="T143"/>
      <c r="U143"/>
      <c r="V143"/>
      <c r="W143"/>
      <c r="X143"/>
      <c r="Y143"/>
      <c r="Z143"/>
      <c r="AA143"/>
      <c r="AB143"/>
      <c r="AC143"/>
      <c r="AD143"/>
      <c r="AE143"/>
    </row>
    <row r="144" spans="1:31" x14ac:dyDescent="0.25">
      <c r="A144"/>
      <c r="B144"/>
      <c r="C144"/>
      <c r="D144"/>
      <c r="E144"/>
      <c r="F144"/>
      <c r="G144"/>
      <c r="H144"/>
      <c r="I144"/>
      <c r="J144"/>
      <c r="K144"/>
      <c r="L144"/>
      <c r="M144"/>
      <c r="N144"/>
      <c r="O144"/>
      <c r="P144"/>
      <c r="Q144"/>
      <c r="R144"/>
      <c r="S144"/>
      <c r="T144"/>
      <c r="U144"/>
      <c r="V144"/>
      <c r="W144"/>
      <c r="X144"/>
      <c r="Y144"/>
      <c r="Z144"/>
      <c r="AA144"/>
      <c r="AB144"/>
      <c r="AC144"/>
      <c r="AD144"/>
      <c r="AE144"/>
    </row>
    <row r="145" spans="1:31" x14ac:dyDescent="0.25">
      <c r="A145"/>
      <c r="B145"/>
      <c r="C145"/>
      <c r="D145"/>
      <c r="E145"/>
      <c r="F145"/>
      <c r="G145"/>
      <c r="H145"/>
      <c r="I145"/>
      <c r="J145"/>
      <c r="K145"/>
      <c r="L145"/>
      <c r="M145"/>
      <c r="N145"/>
      <c r="O145"/>
      <c r="P145"/>
      <c r="Q145"/>
      <c r="R145"/>
      <c r="S145"/>
      <c r="T145"/>
      <c r="U145"/>
      <c r="V145"/>
      <c r="W145"/>
      <c r="X145"/>
      <c r="Y145"/>
      <c r="Z145"/>
      <c r="AA145"/>
      <c r="AB145"/>
      <c r="AC145"/>
      <c r="AD145"/>
      <c r="AE145"/>
    </row>
    <row r="146" spans="1:31" x14ac:dyDescent="0.25">
      <c r="A146"/>
      <c r="B146"/>
      <c r="C146"/>
      <c r="D146"/>
      <c r="E146"/>
      <c r="F146"/>
      <c r="G146"/>
      <c r="H146"/>
      <c r="I146"/>
      <c r="J146"/>
      <c r="K146"/>
      <c r="L146"/>
      <c r="M146"/>
      <c r="N146"/>
      <c r="O146"/>
      <c r="P146"/>
      <c r="Q146"/>
      <c r="R146"/>
      <c r="S146"/>
      <c r="T146"/>
      <c r="U146"/>
      <c r="V146"/>
      <c r="W146"/>
      <c r="X146"/>
      <c r="Y146"/>
      <c r="Z146"/>
      <c r="AA146"/>
      <c r="AB146"/>
      <c r="AC146"/>
      <c r="AD146"/>
      <c r="AE146"/>
    </row>
    <row r="147" spans="1:31" x14ac:dyDescent="0.25">
      <c r="A147"/>
      <c r="B147"/>
      <c r="C147"/>
      <c r="D147"/>
      <c r="E147"/>
      <c r="F147"/>
      <c r="G147"/>
      <c r="H147"/>
      <c r="I147"/>
      <c r="J147"/>
      <c r="K147"/>
      <c r="L147"/>
      <c r="M147"/>
      <c r="N147"/>
      <c r="O147"/>
      <c r="P147"/>
      <c r="Q147"/>
      <c r="R147"/>
      <c r="S147"/>
      <c r="T147"/>
      <c r="U147"/>
      <c r="V147"/>
      <c r="W147"/>
      <c r="X147"/>
      <c r="Y147"/>
      <c r="Z147"/>
      <c r="AA147"/>
      <c r="AB147"/>
      <c r="AC147"/>
      <c r="AD147"/>
      <c r="AE147"/>
    </row>
    <row r="148" spans="1:31" x14ac:dyDescent="0.25">
      <c r="A148"/>
      <c r="B148"/>
      <c r="C148"/>
      <c r="D148"/>
      <c r="E148"/>
      <c r="F148"/>
      <c r="G148"/>
      <c r="H148"/>
      <c r="I148"/>
      <c r="J148"/>
      <c r="K148"/>
      <c r="L148"/>
      <c r="M148"/>
      <c r="N148"/>
      <c r="O148"/>
      <c r="P148"/>
      <c r="Q148"/>
      <c r="R148"/>
      <c r="S148"/>
      <c r="T148"/>
      <c r="U148"/>
      <c r="V148"/>
      <c r="W148"/>
      <c r="X148"/>
      <c r="Y148"/>
      <c r="Z148"/>
      <c r="AA148"/>
      <c r="AB148"/>
      <c r="AC148"/>
      <c r="AD148"/>
      <c r="AE148"/>
    </row>
    <row r="149" spans="1:31" x14ac:dyDescent="0.25">
      <c r="A149"/>
      <c r="B149"/>
      <c r="C149"/>
      <c r="D149"/>
      <c r="E149"/>
      <c r="F149"/>
      <c r="G149"/>
      <c r="H149"/>
      <c r="I149"/>
      <c r="J149"/>
      <c r="K149"/>
      <c r="L149"/>
      <c r="M149"/>
      <c r="N149"/>
      <c r="O149"/>
      <c r="P149"/>
      <c r="Q149"/>
      <c r="R149"/>
      <c r="S149"/>
      <c r="T149"/>
      <c r="U149"/>
      <c r="V149"/>
      <c r="W149"/>
      <c r="X149"/>
      <c r="Y149"/>
      <c r="Z149"/>
      <c r="AA149"/>
      <c r="AB149"/>
      <c r="AC149"/>
      <c r="AD149"/>
      <c r="AE149"/>
    </row>
    <row r="150" spans="1:31" x14ac:dyDescent="0.25">
      <c r="A150"/>
      <c r="B150"/>
      <c r="C150"/>
      <c r="D150"/>
      <c r="E150"/>
      <c r="F150"/>
      <c r="G150"/>
      <c r="H150"/>
      <c r="I150"/>
      <c r="J150"/>
      <c r="K150"/>
      <c r="L150"/>
      <c r="M150"/>
      <c r="N150"/>
      <c r="O150"/>
      <c r="P150"/>
      <c r="Q150"/>
      <c r="R150"/>
      <c r="S150"/>
      <c r="T150"/>
      <c r="U150"/>
      <c r="V150"/>
      <c r="W150"/>
      <c r="X150"/>
      <c r="Y150"/>
      <c r="Z150"/>
      <c r="AA150"/>
      <c r="AB150"/>
      <c r="AC150"/>
      <c r="AD150"/>
      <c r="AE150"/>
    </row>
    <row r="151" spans="1:31" x14ac:dyDescent="0.25">
      <c r="A151"/>
      <c r="B151"/>
      <c r="C151"/>
      <c r="D151"/>
      <c r="E151"/>
      <c r="F151"/>
      <c r="G151"/>
      <c r="H151"/>
      <c r="I151"/>
      <c r="J151"/>
      <c r="K151"/>
      <c r="L151"/>
      <c r="M151"/>
      <c r="N151"/>
      <c r="O151"/>
      <c r="P151"/>
      <c r="Q151"/>
      <c r="R151"/>
      <c r="S151"/>
      <c r="T151"/>
      <c r="U151"/>
      <c r="V151"/>
      <c r="W151"/>
      <c r="X151"/>
      <c r="Y151"/>
      <c r="Z151"/>
      <c r="AA151"/>
      <c r="AB151"/>
      <c r="AC151"/>
      <c r="AD151"/>
      <c r="AE151"/>
    </row>
    <row r="152" spans="1:31" x14ac:dyDescent="0.25">
      <c r="A152"/>
      <c r="B152"/>
      <c r="C152"/>
      <c r="D152"/>
      <c r="E152"/>
      <c r="F152"/>
      <c r="G152"/>
      <c r="H152"/>
      <c r="I152"/>
      <c r="J152"/>
      <c r="K152"/>
      <c r="L152"/>
      <c r="M152"/>
      <c r="N152"/>
      <c r="O152"/>
      <c r="P152"/>
      <c r="Q152"/>
      <c r="R152"/>
      <c r="S152"/>
      <c r="T152"/>
      <c r="U152"/>
      <c r="V152"/>
      <c r="W152"/>
      <c r="X152"/>
      <c r="Y152"/>
      <c r="Z152"/>
      <c r="AA152"/>
      <c r="AB152"/>
      <c r="AC152"/>
      <c r="AD152"/>
      <c r="AE152"/>
    </row>
    <row r="153" spans="1:31" x14ac:dyDescent="0.25">
      <c r="A153"/>
      <c r="B153"/>
      <c r="C153"/>
      <c r="D153"/>
      <c r="E153"/>
      <c r="F153"/>
      <c r="G153"/>
      <c r="H153"/>
      <c r="I153"/>
      <c r="J153"/>
      <c r="K153"/>
      <c r="L153"/>
      <c r="M153"/>
      <c r="N153"/>
      <c r="O153"/>
      <c r="P153"/>
      <c r="Q153"/>
      <c r="R153"/>
      <c r="S153"/>
      <c r="T153"/>
      <c r="U153"/>
      <c r="V153"/>
      <c r="W153"/>
      <c r="X153"/>
      <c r="Y153"/>
      <c r="Z153"/>
      <c r="AA153"/>
      <c r="AB153"/>
      <c r="AC153"/>
      <c r="AD153"/>
      <c r="AE153"/>
    </row>
    <row r="154" spans="1:31" x14ac:dyDescent="0.25">
      <c r="A154"/>
      <c r="B154"/>
      <c r="C154"/>
      <c r="D154"/>
      <c r="E154"/>
      <c r="F154"/>
      <c r="G154"/>
      <c r="H154"/>
      <c r="I154"/>
      <c r="J154"/>
      <c r="K154"/>
      <c r="L154"/>
      <c r="M154"/>
      <c r="N154"/>
      <c r="O154"/>
      <c r="P154"/>
      <c r="Q154"/>
      <c r="R154"/>
      <c r="S154"/>
      <c r="T154"/>
      <c r="U154"/>
      <c r="V154"/>
      <c r="W154"/>
      <c r="X154"/>
      <c r="Y154"/>
      <c r="Z154"/>
      <c r="AA154"/>
      <c r="AB154"/>
      <c r="AC154"/>
      <c r="AD154"/>
      <c r="AE154"/>
    </row>
    <row r="155" spans="1:31" x14ac:dyDescent="0.25">
      <c r="A155"/>
      <c r="B155"/>
      <c r="C155"/>
      <c r="D155"/>
      <c r="E155"/>
      <c r="F155"/>
      <c r="G155"/>
      <c r="H155"/>
      <c r="I155"/>
      <c r="J155"/>
      <c r="K155"/>
      <c r="L155"/>
      <c r="M155"/>
      <c r="N155"/>
      <c r="O155"/>
      <c r="P155"/>
      <c r="Q155"/>
      <c r="R155"/>
      <c r="S155"/>
      <c r="T155"/>
      <c r="U155"/>
      <c r="V155"/>
      <c r="W155"/>
      <c r="X155"/>
      <c r="Y155"/>
      <c r="Z155"/>
      <c r="AA155"/>
      <c r="AB155"/>
      <c r="AC155"/>
      <c r="AD155"/>
      <c r="AE155"/>
    </row>
    <row r="156" spans="1:31" x14ac:dyDescent="0.25">
      <c r="A156"/>
      <c r="B156"/>
      <c r="C156"/>
      <c r="D156"/>
      <c r="E156"/>
      <c r="F156"/>
      <c r="G156"/>
      <c r="H156"/>
      <c r="I156"/>
      <c r="J156"/>
      <c r="K156"/>
      <c r="L156"/>
      <c r="M156"/>
      <c r="N156"/>
      <c r="O156"/>
      <c r="P156"/>
      <c r="Q156"/>
      <c r="R156"/>
      <c r="S156"/>
      <c r="T156"/>
      <c r="U156"/>
      <c r="V156"/>
      <c r="W156"/>
      <c r="X156"/>
      <c r="Y156"/>
      <c r="Z156"/>
      <c r="AA156"/>
      <c r="AB156"/>
      <c r="AC156"/>
      <c r="AD156"/>
      <c r="AE156"/>
    </row>
    <row r="157" spans="1:31" x14ac:dyDescent="0.25">
      <c r="A157"/>
      <c r="B157"/>
      <c r="C157"/>
      <c r="D157"/>
      <c r="E157"/>
      <c r="F157"/>
      <c r="G157"/>
      <c r="H157"/>
      <c r="I157"/>
      <c r="J157"/>
      <c r="K157"/>
      <c r="L157"/>
      <c r="M157"/>
      <c r="N157"/>
      <c r="O157"/>
      <c r="P157"/>
      <c r="Q157"/>
      <c r="R157"/>
      <c r="S157"/>
      <c r="T157"/>
      <c r="U157"/>
      <c r="V157"/>
      <c r="W157"/>
      <c r="X157"/>
      <c r="Y157"/>
      <c r="Z157"/>
      <c r="AA157"/>
      <c r="AB157"/>
      <c r="AC157"/>
      <c r="AD157"/>
      <c r="AE157"/>
    </row>
    <row r="158" spans="1:31" x14ac:dyDescent="0.25">
      <c r="A158"/>
      <c r="B158"/>
      <c r="C158"/>
      <c r="D158"/>
      <c r="E158"/>
      <c r="F158"/>
      <c r="G158"/>
      <c r="H158"/>
      <c r="I158"/>
      <c r="J158"/>
      <c r="K158"/>
      <c r="L158"/>
      <c r="M158"/>
      <c r="N158"/>
      <c r="O158"/>
      <c r="P158"/>
      <c r="Q158"/>
      <c r="R158"/>
      <c r="S158"/>
      <c r="T158"/>
      <c r="U158"/>
      <c r="V158"/>
      <c r="W158"/>
      <c r="X158"/>
      <c r="Y158"/>
      <c r="Z158"/>
      <c r="AA158"/>
      <c r="AB158"/>
      <c r="AC158"/>
      <c r="AD158"/>
      <c r="AE158"/>
    </row>
    <row r="159" spans="1:31" x14ac:dyDescent="0.25">
      <c r="A159"/>
      <c r="B159"/>
      <c r="C159"/>
      <c r="D159"/>
      <c r="E159"/>
      <c r="F159"/>
      <c r="G159"/>
      <c r="H159"/>
      <c r="I159"/>
      <c r="J159"/>
      <c r="K159"/>
      <c r="L159"/>
      <c r="M159"/>
      <c r="N159"/>
      <c r="O159"/>
      <c r="P159"/>
      <c r="Q159"/>
      <c r="R159"/>
      <c r="S159"/>
      <c r="T159"/>
      <c r="U159"/>
      <c r="V159"/>
      <c r="W159"/>
      <c r="X159"/>
      <c r="Y159"/>
      <c r="Z159"/>
      <c r="AA159"/>
      <c r="AB159"/>
      <c r="AC159"/>
      <c r="AD159"/>
      <c r="AE159"/>
    </row>
    <row r="160" spans="1:31" x14ac:dyDescent="0.25">
      <c r="A160"/>
      <c r="B160"/>
      <c r="C160"/>
      <c r="D160"/>
      <c r="E160"/>
      <c r="F160"/>
      <c r="G160"/>
      <c r="H160"/>
      <c r="I160"/>
      <c r="J160"/>
      <c r="K160"/>
      <c r="L160"/>
      <c r="M160"/>
      <c r="N160"/>
      <c r="O160"/>
      <c r="P160"/>
      <c r="Q160"/>
      <c r="R160"/>
      <c r="S160"/>
      <c r="T160"/>
      <c r="U160"/>
      <c r="V160"/>
      <c r="W160"/>
      <c r="X160"/>
      <c r="Y160"/>
      <c r="Z160"/>
      <c r="AA160"/>
      <c r="AB160"/>
      <c r="AC160"/>
      <c r="AD160"/>
      <c r="AE160"/>
    </row>
    <row r="161" spans="1:31" x14ac:dyDescent="0.25">
      <c r="A161"/>
      <c r="B161"/>
      <c r="C161"/>
      <c r="D161"/>
      <c r="E161"/>
      <c r="F161"/>
      <c r="G161"/>
      <c r="H161"/>
      <c r="I161"/>
      <c r="J161"/>
      <c r="K161"/>
      <c r="L161"/>
      <c r="M161"/>
      <c r="N161"/>
      <c r="O161"/>
      <c r="P161"/>
      <c r="Q161"/>
      <c r="R161"/>
      <c r="S161"/>
      <c r="T161"/>
      <c r="U161"/>
      <c r="V161"/>
      <c r="W161"/>
      <c r="X161"/>
      <c r="Y161"/>
      <c r="Z161"/>
      <c r="AA161"/>
      <c r="AB161"/>
      <c r="AC161"/>
      <c r="AD161"/>
      <c r="AE161"/>
    </row>
    <row r="162" spans="1:31" x14ac:dyDescent="0.25">
      <c r="A162"/>
      <c r="B162"/>
      <c r="C162"/>
      <c r="D162"/>
      <c r="E162"/>
      <c r="F162"/>
      <c r="G162"/>
      <c r="H162"/>
      <c r="I162"/>
      <c r="J162"/>
      <c r="K162"/>
      <c r="L162"/>
      <c r="M162"/>
      <c r="N162"/>
      <c r="O162"/>
      <c r="P162"/>
      <c r="Q162"/>
      <c r="R162"/>
      <c r="S162"/>
      <c r="T162"/>
      <c r="U162"/>
      <c r="V162"/>
      <c r="W162"/>
      <c r="X162"/>
      <c r="Y162"/>
      <c r="Z162"/>
      <c r="AA162"/>
      <c r="AB162"/>
      <c r="AC162"/>
      <c r="AD162"/>
      <c r="AE162"/>
    </row>
    <row r="163" spans="1:31" x14ac:dyDescent="0.25">
      <c r="A163"/>
      <c r="B163"/>
      <c r="C163"/>
      <c r="D163"/>
      <c r="E163"/>
      <c r="F163"/>
      <c r="G163"/>
      <c r="H163"/>
      <c r="I163"/>
      <c r="J163"/>
      <c r="K163"/>
      <c r="L163"/>
      <c r="M163"/>
      <c r="N163"/>
      <c r="O163"/>
      <c r="P163"/>
      <c r="Q163"/>
      <c r="R163"/>
      <c r="S163"/>
      <c r="T163"/>
      <c r="U163"/>
      <c r="V163"/>
      <c r="W163"/>
      <c r="X163"/>
      <c r="Y163"/>
      <c r="Z163"/>
      <c r="AA163"/>
      <c r="AB163"/>
      <c r="AC163"/>
      <c r="AD163"/>
      <c r="AE163"/>
    </row>
    <row r="164" spans="1:31" x14ac:dyDescent="0.25">
      <c r="A164"/>
      <c r="B164"/>
      <c r="C164"/>
      <c r="D164"/>
      <c r="E164"/>
      <c r="F164"/>
      <c r="G164"/>
      <c r="H164"/>
      <c r="I164"/>
      <c r="J164"/>
      <c r="K164"/>
      <c r="L164"/>
      <c r="M164"/>
      <c r="N164"/>
      <c r="O164"/>
      <c r="P164"/>
      <c r="Q164"/>
      <c r="R164"/>
      <c r="S164"/>
      <c r="T164"/>
      <c r="U164"/>
      <c r="V164"/>
      <c r="W164"/>
      <c r="X164"/>
      <c r="Y164"/>
      <c r="Z164"/>
      <c r="AA164"/>
      <c r="AB164"/>
      <c r="AC164"/>
      <c r="AD164"/>
      <c r="AE164"/>
    </row>
    <row r="165" spans="1:31" x14ac:dyDescent="0.25">
      <c r="A165"/>
      <c r="B165"/>
      <c r="C165"/>
      <c r="D165"/>
      <c r="E165"/>
      <c r="F165"/>
      <c r="G165"/>
      <c r="H165"/>
      <c r="I165"/>
      <c r="J165"/>
      <c r="K165"/>
      <c r="L165"/>
      <c r="M165"/>
      <c r="N165"/>
      <c r="O165"/>
      <c r="P165"/>
      <c r="Q165"/>
      <c r="R165"/>
      <c r="S165"/>
      <c r="T165"/>
      <c r="U165"/>
      <c r="V165"/>
      <c r="W165"/>
      <c r="X165"/>
      <c r="Y165"/>
      <c r="Z165"/>
      <c r="AA165"/>
      <c r="AB165"/>
      <c r="AC165"/>
      <c r="AD165"/>
      <c r="AE165"/>
    </row>
    <row r="166" spans="1:31" x14ac:dyDescent="0.25">
      <c r="A166"/>
      <c r="B166"/>
      <c r="C166"/>
      <c r="D166"/>
      <c r="E166"/>
      <c r="F166"/>
      <c r="G166"/>
      <c r="H166"/>
      <c r="I166"/>
      <c r="J166"/>
      <c r="K166"/>
      <c r="L166"/>
      <c r="M166"/>
      <c r="N166"/>
      <c r="O166"/>
      <c r="P166"/>
      <c r="Q166"/>
      <c r="R166"/>
      <c r="S166"/>
      <c r="T166"/>
      <c r="U166"/>
      <c r="V166"/>
      <c r="W166"/>
      <c r="X166"/>
      <c r="Y166"/>
      <c r="Z166"/>
      <c r="AA166"/>
      <c r="AB166"/>
      <c r="AC166"/>
      <c r="AD166"/>
      <c r="AE166"/>
    </row>
    <row r="167" spans="1:31" x14ac:dyDescent="0.25">
      <c r="A167"/>
      <c r="B167"/>
      <c r="C167"/>
      <c r="D167"/>
      <c r="E167"/>
      <c r="F167"/>
      <c r="G167"/>
      <c r="H167"/>
      <c r="I167"/>
      <c r="J167"/>
      <c r="K167"/>
      <c r="L167"/>
      <c r="M167"/>
      <c r="N167"/>
      <c r="O167"/>
      <c r="P167"/>
      <c r="Q167"/>
      <c r="R167"/>
      <c r="S167"/>
      <c r="T167"/>
      <c r="U167"/>
      <c r="V167"/>
      <c r="W167"/>
      <c r="X167"/>
      <c r="Y167"/>
      <c r="Z167"/>
      <c r="AA167"/>
      <c r="AB167"/>
      <c r="AC167"/>
      <c r="AD167"/>
      <c r="AE167"/>
    </row>
    <row r="168" spans="1:31" x14ac:dyDescent="0.25">
      <c r="A168"/>
      <c r="B168"/>
      <c r="C168"/>
      <c r="D168"/>
      <c r="E168"/>
      <c r="F168"/>
      <c r="G168"/>
      <c r="H168"/>
      <c r="I168"/>
      <c r="J168"/>
      <c r="K168"/>
      <c r="L168"/>
      <c r="M168"/>
      <c r="N168"/>
      <c r="O168"/>
      <c r="P168"/>
      <c r="Q168"/>
      <c r="R168"/>
      <c r="S168"/>
      <c r="T168"/>
      <c r="U168"/>
      <c r="V168"/>
      <c r="W168"/>
      <c r="X168"/>
      <c r="Y168"/>
      <c r="Z168"/>
      <c r="AA168"/>
      <c r="AB168"/>
      <c r="AC168"/>
      <c r="AD168"/>
      <c r="AE168"/>
    </row>
    <row r="169" spans="1:31" x14ac:dyDescent="0.25">
      <c r="A169"/>
      <c r="B169"/>
      <c r="C169"/>
      <c r="D169"/>
      <c r="E169"/>
      <c r="F169"/>
      <c r="G169"/>
      <c r="H169"/>
      <c r="I169"/>
      <c r="J169"/>
      <c r="K169"/>
      <c r="L169"/>
      <c r="M169"/>
      <c r="N169"/>
      <c r="O169"/>
      <c r="P169"/>
      <c r="Q169"/>
      <c r="R169"/>
      <c r="S169"/>
      <c r="T169"/>
      <c r="U169"/>
      <c r="V169"/>
      <c r="W169"/>
      <c r="X169"/>
      <c r="Y169"/>
      <c r="Z169"/>
      <c r="AA169"/>
      <c r="AB169"/>
      <c r="AC169"/>
      <c r="AD169"/>
      <c r="AE169"/>
    </row>
    <row r="170" spans="1:31" x14ac:dyDescent="0.25">
      <c r="A170"/>
      <c r="B170"/>
      <c r="C170"/>
      <c r="D170"/>
      <c r="E170"/>
      <c r="F170"/>
      <c r="G170"/>
      <c r="H170"/>
      <c r="I170"/>
      <c r="J170"/>
      <c r="K170"/>
      <c r="L170"/>
      <c r="M170"/>
      <c r="N170"/>
      <c r="O170"/>
      <c r="P170"/>
      <c r="Q170"/>
      <c r="R170"/>
      <c r="S170"/>
      <c r="T170"/>
      <c r="U170"/>
      <c r="V170"/>
      <c r="W170"/>
      <c r="X170"/>
      <c r="Y170"/>
      <c r="Z170"/>
      <c r="AA170"/>
      <c r="AB170"/>
      <c r="AC170"/>
      <c r="AD170"/>
      <c r="AE170"/>
    </row>
    <row r="171" spans="1:31" x14ac:dyDescent="0.25">
      <c r="A171"/>
      <c r="B171"/>
      <c r="C171"/>
      <c r="D171"/>
      <c r="E171"/>
      <c r="F171"/>
      <c r="G171"/>
      <c r="H171"/>
      <c r="I171"/>
      <c r="J171"/>
      <c r="K171"/>
      <c r="L171"/>
      <c r="M171"/>
      <c r="N171"/>
      <c r="O171"/>
      <c r="P171"/>
      <c r="Q171"/>
      <c r="R171"/>
      <c r="S171"/>
      <c r="T171"/>
      <c r="U171"/>
      <c r="V171"/>
      <c r="W171"/>
      <c r="X171"/>
      <c r="Y171"/>
      <c r="Z171"/>
      <c r="AA171"/>
      <c r="AB171"/>
      <c r="AC171"/>
      <c r="AD171"/>
      <c r="AE171"/>
    </row>
    <row r="172" spans="1:31" x14ac:dyDescent="0.25">
      <c r="A172"/>
      <c r="B172"/>
      <c r="C172"/>
      <c r="D172"/>
      <c r="E172"/>
      <c r="F172"/>
      <c r="G172"/>
      <c r="H172"/>
      <c r="I172"/>
      <c r="J172"/>
      <c r="K172"/>
      <c r="L172"/>
      <c r="M172"/>
      <c r="N172"/>
      <c r="O172"/>
      <c r="P172"/>
      <c r="Q172"/>
      <c r="R172"/>
      <c r="S172"/>
      <c r="T172"/>
      <c r="U172"/>
      <c r="V172"/>
      <c r="W172"/>
      <c r="X172"/>
      <c r="Y172"/>
      <c r="Z172"/>
      <c r="AA172"/>
      <c r="AB172"/>
      <c r="AC172"/>
      <c r="AD172"/>
      <c r="AE172"/>
    </row>
    <row r="173" spans="1:31" x14ac:dyDescent="0.25">
      <c r="A173"/>
      <c r="B173"/>
      <c r="C173"/>
      <c r="D173"/>
      <c r="E173"/>
      <c r="F173"/>
      <c r="G173"/>
      <c r="H173"/>
      <c r="I173"/>
      <c r="J173"/>
      <c r="K173"/>
      <c r="L173"/>
      <c r="M173"/>
      <c r="N173"/>
      <c r="O173"/>
      <c r="P173"/>
      <c r="Q173"/>
      <c r="R173"/>
      <c r="S173"/>
      <c r="T173"/>
      <c r="U173"/>
      <c r="V173"/>
      <c r="W173"/>
      <c r="X173"/>
      <c r="Y173"/>
      <c r="Z173"/>
      <c r="AA173"/>
      <c r="AB173"/>
      <c r="AC173"/>
      <c r="AD173"/>
      <c r="AE173"/>
    </row>
    <row r="174" spans="1:31" x14ac:dyDescent="0.25">
      <c r="A174"/>
      <c r="B174"/>
      <c r="C174"/>
      <c r="D174"/>
      <c r="E174"/>
      <c r="F174"/>
      <c r="G174"/>
      <c r="H174"/>
      <c r="I174"/>
      <c r="J174"/>
      <c r="K174"/>
      <c r="L174"/>
      <c r="M174"/>
      <c r="N174"/>
      <c r="O174"/>
      <c r="P174"/>
      <c r="Q174"/>
      <c r="R174"/>
      <c r="S174"/>
      <c r="T174"/>
      <c r="U174"/>
      <c r="V174"/>
      <c r="W174"/>
      <c r="X174"/>
      <c r="Y174"/>
      <c r="Z174"/>
      <c r="AA174"/>
      <c r="AB174"/>
      <c r="AC174"/>
      <c r="AD174"/>
      <c r="AE174"/>
    </row>
    <row r="175" spans="1:31" x14ac:dyDescent="0.25">
      <c r="A175"/>
      <c r="B175"/>
      <c r="C175"/>
      <c r="D175"/>
      <c r="E175"/>
      <c r="F175"/>
      <c r="G175"/>
      <c r="H175"/>
      <c r="I175"/>
      <c r="J175"/>
      <c r="K175"/>
      <c r="L175"/>
      <c r="M175"/>
      <c r="N175"/>
      <c r="O175"/>
      <c r="P175"/>
      <c r="Q175"/>
      <c r="R175"/>
      <c r="S175"/>
      <c r="T175"/>
      <c r="U175"/>
      <c r="V175"/>
      <c r="W175"/>
      <c r="X175"/>
      <c r="Y175"/>
      <c r="Z175"/>
      <c r="AA175"/>
      <c r="AB175"/>
      <c r="AC175"/>
      <c r="AD175"/>
      <c r="AE175"/>
    </row>
    <row r="176" spans="1:31" x14ac:dyDescent="0.25">
      <c r="A176"/>
      <c r="B176"/>
      <c r="C176"/>
      <c r="D176"/>
      <c r="E176"/>
      <c r="F176"/>
      <c r="G176"/>
      <c r="H176"/>
      <c r="I176"/>
      <c r="J176"/>
      <c r="K176"/>
      <c r="L176"/>
      <c r="M176"/>
      <c r="N176"/>
      <c r="O176"/>
      <c r="P176"/>
      <c r="Q176"/>
      <c r="R176"/>
      <c r="S176"/>
      <c r="T176"/>
      <c r="U176"/>
      <c r="V176"/>
      <c r="W176"/>
      <c r="X176"/>
      <c r="Y176"/>
      <c r="Z176"/>
      <c r="AA176"/>
      <c r="AB176"/>
      <c r="AC176"/>
      <c r="AD176"/>
      <c r="AE176"/>
    </row>
    <row r="177" spans="1:31" x14ac:dyDescent="0.25">
      <c r="A177"/>
      <c r="B177"/>
      <c r="C177"/>
      <c r="D177"/>
      <c r="E177"/>
      <c r="F177"/>
      <c r="G177"/>
      <c r="H177"/>
      <c r="I177"/>
      <c r="J177"/>
      <c r="K177"/>
      <c r="L177"/>
      <c r="M177"/>
      <c r="N177"/>
      <c r="O177"/>
      <c r="P177"/>
      <c r="Q177"/>
      <c r="R177"/>
      <c r="S177"/>
      <c r="T177"/>
      <c r="U177"/>
      <c r="V177"/>
      <c r="W177"/>
      <c r="X177"/>
      <c r="Y177"/>
      <c r="Z177"/>
      <c r="AA177"/>
      <c r="AB177"/>
      <c r="AC177"/>
      <c r="AD177"/>
      <c r="AE177"/>
    </row>
    <row r="178" spans="1:31" x14ac:dyDescent="0.25">
      <c r="A178"/>
      <c r="B178"/>
      <c r="C178"/>
      <c r="D178"/>
      <c r="E178"/>
      <c r="F178"/>
      <c r="G178"/>
      <c r="H178"/>
      <c r="I178"/>
      <c r="J178"/>
      <c r="K178"/>
      <c r="L178"/>
      <c r="M178"/>
      <c r="N178"/>
      <c r="O178"/>
      <c r="P178"/>
      <c r="Q178"/>
      <c r="R178"/>
      <c r="S178"/>
      <c r="T178"/>
      <c r="U178"/>
      <c r="V178"/>
      <c r="W178"/>
      <c r="X178"/>
      <c r="Y178"/>
      <c r="Z178"/>
      <c r="AA178"/>
      <c r="AB178"/>
      <c r="AC178"/>
      <c r="AD178"/>
      <c r="AE178"/>
    </row>
    <row r="179" spans="1:31" x14ac:dyDescent="0.25">
      <c r="A179"/>
      <c r="B179"/>
      <c r="C179"/>
      <c r="D179"/>
      <c r="E179"/>
      <c r="F179"/>
      <c r="G179"/>
      <c r="H179"/>
      <c r="I179"/>
      <c r="J179"/>
      <c r="K179"/>
      <c r="L179"/>
      <c r="M179"/>
      <c r="N179"/>
      <c r="O179"/>
      <c r="P179"/>
      <c r="Q179"/>
      <c r="R179"/>
      <c r="S179"/>
      <c r="T179"/>
      <c r="U179"/>
      <c r="V179"/>
      <c r="W179"/>
      <c r="X179"/>
      <c r="Y179"/>
      <c r="Z179"/>
      <c r="AA179"/>
      <c r="AB179"/>
      <c r="AC179"/>
      <c r="AD179"/>
      <c r="AE179"/>
    </row>
    <row r="180" spans="1:31" x14ac:dyDescent="0.25">
      <c r="A180"/>
      <c r="B180"/>
      <c r="C180"/>
      <c r="D180"/>
      <c r="E180"/>
      <c r="F180"/>
      <c r="G180"/>
      <c r="H180"/>
      <c r="I180"/>
      <c r="J180"/>
      <c r="K180"/>
      <c r="L180"/>
      <c r="M180"/>
      <c r="N180"/>
      <c r="O180"/>
      <c r="P180"/>
      <c r="Q180"/>
      <c r="R180"/>
      <c r="S180"/>
      <c r="T180"/>
      <c r="U180"/>
      <c r="V180"/>
      <c r="W180"/>
      <c r="X180"/>
      <c r="Y180"/>
      <c r="Z180"/>
      <c r="AA180"/>
      <c r="AB180"/>
      <c r="AC180"/>
      <c r="AD180"/>
      <c r="AE180"/>
    </row>
    <row r="181" spans="1:31" x14ac:dyDescent="0.25">
      <c r="A181"/>
      <c r="B181"/>
      <c r="C181"/>
      <c r="D181"/>
      <c r="E181"/>
      <c r="F181"/>
      <c r="G181"/>
      <c r="H181"/>
      <c r="I181"/>
      <c r="J181"/>
      <c r="K181"/>
      <c r="L181"/>
      <c r="M181"/>
      <c r="N181"/>
      <c r="O181"/>
      <c r="P181"/>
      <c r="Q181"/>
      <c r="R181"/>
      <c r="S181"/>
      <c r="T181"/>
      <c r="U181"/>
      <c r="V181"/>
      <c r="W181"/>
      <c r="X181"/>
      <c r="Y181"/>
      <c r="Z181"/>
      <c r="AA181"/>
      <c r="AB181"/>
      <c r="AC181"/>
      <c r="AD181"/>
      <c r="AE181"/>
    </row>
    <row r="182" spans="1:31" x14ac:dyDescent="0.25">
      <c r="A182"/>
      <c r="B182"/>
      <c r="C182"/>
      <c r="D182"/>
      <c r="E182"/>
      <c r="F182"/>
      <c r="G182"/>
      <c r="H182"/>
      <c r="I182"/>
      <c r="J182"/>
      <c r="K182"/>
      <c r="L182"/>
      <c r="M182"/>
      <c r="N182"/>
      <c r="O182"/>
      <c r="P182"/>
      <c r="Q182"/>
      <c r="R182"/>
      <c r="S182"/>
      <c r="T182"/>
      <c r="U182"/>
      <c r="V182"/>
      <c r="W182"/>
      <c r="X182"/>
      <c r="Y182"/>
      <c r="Z182"/>
      <c r="AA182"/>
      <c r="AB182"/>
      <c r="AC182"/>
      <c r="AD182"/>
      <c r="AE182"/>
    </row>
    <row r="183" spans="1:31" x14ac:dyDescent="0.25">
      <c r="A183"/>
      <c r="B183"/>
      <c r="C183"/>
      <c r="D183"/>
      <c r="E183"/>
      <c r="F183"/>
      <c r="G183"/>
      <c r="H183"/>
      <c r="I183"/>
      <c r="J183"/>
      <c r="K183"/>
      <c r="L183"/>
      <c r="M183"/>
      <c r="N183"/>
      <c r="O183"/>
      <c r="P183"/>
      <c r="Q183"/>
      <c r="R183"/>
      <c r="S183"/>
      <c r="T183"/>
      <c r="U183"/>
      <c r="V183"/>
      <c r="W183"/>
      <c r="X183"/>
      <c r="Y183"/>
      <c r="Z183"/>
      <c r="AA183"/>
      <c r="AB183"/>
      <c r="AC183"/>
      <c r="AD183"/>
      <c r="AE183"/>
    </row>
    <row r="184" spans="1:31" x14ac:dyDescent="0.25">
      <c r="A184"/>
      <c r="B184"/>
      <c r="C184"/>
      <c r="D184"/>
      <c r="E184"/>
      <c r="F184"/>
      <c r="G184"/>
      <c r="H184"/>
      <c r="I184"/>
      <c r="J184"/>
      <c r="K184"/>
      <c r="L184"/>
      <c r="M184"/>
      <c r="N184"/>
      <c r="O184"/>
      <c r="P184"/>
      <c r="Q184"/>
      <c r="R184"/>
      <c r="S184"/>
      <c r="T184"/>
      <c r="U184"/>
      <c r="V184"/>
      <c r="W184"/>
      <c r="X184"/>
      <c r="Y184"/>
      <c r="Z184"/>
      <c r="AA184"/>
      <c r="AB184"/>
      <c r="AC184"/>
      <c r="AD184"/>
      <c r="AE184"/>
    </row>
    <row r="185" spans="1:31" x14ac:dyDescent="0.25">
      <c r="A185"/>
      <c r="B185"/>
      <c r="C185"/>
      <c r="D185"/>
      <c r="E185"/>
      <c r="F185"/>
      <c r="G185"/>
      <c r="H185"/>
      <c r="I185"/>
      <c r="J185"/>
      <c r="K185"/>
      <c r="L185"/>
      <c r="M185"/>
      <c r="N185"/>
      <c r="O185"/>
      <c r="P185"/>
      <c r="Q185"/>
      <c r="R185"/>
      <c r="S185"/>
      <c r="T185"/>
      <c r="U185"/>
      <c r="V185"/>
      <c r="W185"/>
      <c r="X185"/>
      <c r="Y185"/>
      <c r="Z185"/>
      <c r="AA185"/>
      <c r="AB185"/>
      <c r="AC185"/>
      <c r="AD185"/>
      <c r="AE185"/>
    </row>
    <row r="186" spans="1:31" x14ac:dyDescent="0.25">
      <c r="A186"/>
      <c r="B186"/>
      <c r="C186"/>
      <c r="D186"/>
      <c r="E186"/>
      <c r="F186"/>
      <c r="G186"/>
      <c r="H186"/>
      <c r="I186"/>
      <c r="J186"/>
      <c r="K186"/>
      <c r="L186"/>
      <c r="M186"/>
      <c r="N186"/>
      <c r="O186"/>
      <c r="P186"/>
      <c r="Q186"/>
      <c r="R186"/>
      <c r="S186"/>
      <c r="T186"/>
      <c r="U186"/>
      <c r="V186"/>
      <c r="W186"/>
      <c r="X186"/>
      <c r="Y186"/>
      <c r="Z186"/>
      <c r="AA186"/>
      <c r="AB186"/>
      <c r="AC186"/>
      <c r="AD186"/>
      <c r="AE186"/>
    </row>
    <row r="187" spans="1:31" x14ac:dyDescent="0.25">
      <c r="A187"/>
      <c r="B187"/>
      <c r="C187"/>
      <c r="D187"/>
      <c r="E187"/>
      <c r="F187"/>
      <c r="G187"/>
      <c r="H187"/>
      <c r="I187"/>
      <c r="J187"/>
      <c r="K187"/>
      <c r="L187"/>
      <c r="M187"/>
      <c r="N187"/>
      <c r="O187"/>
      <c r="P187"/>
      <c r="Q187"/>
      <c r="R187"/>
      <c r="S187"/>
      <c r="T187"/>
      <c r="U187"/>
      <c r="V187"/>
      <c r="W187"/>
      <c r="X187"/>
      <c r="Y187"/>
      <c r="Z187"/>
      <c r="AA187"/>
      <c r="AB187"/>
      <c r="AC187"/>
      <c r="AD187"/>
      <c r="AE187"/>
    </row>
    <row r="188" spans="1:31" x14ac:dyDescent="0.25">
      <c r="A188"/>
      <c r="B188"/>
      <c r="C188"/>
      <c r="D188"/>
      <c r="E188"/>
      <c r="F188"/>
      <c r="G188"/>
      <c r="H188"/>
      <c r="I188"/>
      <c r="J188"/>
      <c r="K188"/>
      <c r="L188"/>
      <c r="M188"/>
      <c r="N188"/>
      <c r="O188"/>
      <c r="P188"/>
      <c r="Q188"/>
      <c r="R188"/>
      <c r="S188"/>
      <c r="T188"/>
      <c r="U188"/>
      <c r="V188"/>
      <c r="W188"/>
      <c r="X188"/>
      <c r="Y188"/>
      <c r="Z188"/>
      <c r="AA188"/>
      <c r="AB188"/>
      <c r="AC188"/>
      <c r="AD188"/>
      <c r="AE188"/>
    </row>
    <row r="189" spans="1:31" x14ac:dyDescent="0.25">
      <c r="A189"/>
      <c r="B189"/>
      <c r="C189"/>
      <c r="D189"/>
      <c r="E189"/>
      <c r="F189"/>
      <c r="G189"/>
      <c r="H189"/>
      <c r="I189"/>
      <c r="J189"/>
      <c r="K189"/>
      <c r="L189"/>
      <c r="M189"/>
      <c r="N189"/>
      <c r="O189"/>
      <c r="P189"/>
      <c r="Q189"/>
      <c r="R189"/>
      <c r="S189"/>
      <c r="T189"/>
      <c r="U189"/>
      <c r="V189"/>
      <c r="W189"/>
      <c r="X189"/>
      <c r="Y189"/>
      <c r="Z189"/>
      <c r="AA189"/>
      <c r="AB189"/>
      <c r="AC189"/>
      <c r="AD189"/>
      <c r="AE189"/>
    </row>
    <row r="190" spans="1:31" x14ac:dyDescent="0.25">
      <c r="A190"/>
      <c r="B190"/>
      <c r="C190"/>
      <c r="D190"/>
      <c r="E190"/>
      <c r="F190"/>
      <c r="G190"/>
      <c r="H190"/>
      <c r="I190"/>
      <c r="J190"/>
      <c r="K190"/>
      <c r="L190"/>
      <c r="M190"/>
      <c r="N190"/>
      <c r="O190"/>
      <c r="P190"/>
      <c r="Q190"/>
      <c r="R190"/>
      <c r="S190"/>
      <c r="T190"/>
      <c r="U190"/>
      <c r="V190"/>
      <c r="W190"/>
      <c r="X190"/>
      <c r="Y190"/>
      <c r="Z190"/>
      <c r="AA190"/>
      <c r="AB190"/>
      <c r="AC190"/>
      <c r="AD190"/>
      <c r="AE190"/>
    </row>
  </sheetData>
  <hyperlinks>
    <hyperlink ref="H1" location="'Index &amp; Instructions'!A1" display="HOME"/>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pageSetUpPr fitToPage="1"/>
  </sheetPr>
  <dimension ref="A1:O379"/>
  <sheetViews>
    <sheetView showGridLines="0" workbookViewId="0">
      <selection activeCell="I378" sqref="I378"/>
    </sheetView>
  </sheetViews>
  <sheetFormatPr defaultColWidth="9.109375" defaultRowHeight="13.8" outlineLevelRow="1" x14ac:dyDescent="0.25"/>
  <cols>
    <col min="1" max="1" width="5.33203125" style="442" bestFit="1" customWidth="1"/>
    <col min="2" max="2" width="11.109375" style="442" bestFit="1" customWidth="1"/>
    <col min="3" max="3" width="12.88671875" style="441" bestFit="1" customWidth="1"/>
    <col min="4" max="4" width="12.6640625" style="441" bestFit="1" customWidth="1"/>
    <col min="5" max="5" width="13.6640625" style="441" bestFit="1" customWidth="1"/>
    <col min="6" max="6" width="14.5546875" style="440" bestFit="1" customWidth="1"/>
    <col min="7" max="7" width="13.44140625" style="440" bestFit="1" customWidth="1"/>
    <col min="8" max="8" width="15.6640625" style="440" bestFit="1" customWidth="1"/>
    <col min="9" max="9" width="11.44140625" style="672" customWidth="1"/>
    <col min="10" max="10" width="10" style="439" customWidth="1"/>
    <col min="11" max="11" width="11.77734375" style="439" customWidth="1"/>
    <col min="12" max="12" width="12" style="439" customWidth="1"/>
    <col min="13" max="13" width="15.44140625" style="439" bestFit="1" customWidth="1"/>
    <col min="14" max="14" width="11.5546875" style="439" customWidth="1"/>
    <col min="15" max="15" width="13.109375" style="439" bestFit="1" customWidth="1"/>
    <col min="16" max="16384" width="9.109375" style="439"/>
  </cols>
  <sheetData>
    <row r="1" spans="1:14" s="680" customFormat="1" ht="30.6" collapsed="1" x14ac:dyDescent="0.35">
      <c r="A1" s="673" t="s">
        <v>14</v>
      </c>
      <c r="B1" s="855" t="s">
        <v>72</v>
      </c>
      <c r="C1" s="674" t="s">
        <v>410</v>
      </c>
      <c r="D1" s="675" t="s">
        <v>409</v>
      </c>
      <c r="E1" s="676" t="s">
        <v>408</v>
      </c>
      <c r="F1" s="677" t="s">
        <v>407</v>
      </c>
      <c r="G1" s="678" t="s">
        <v>406</v>
      </c>
      <c r="H1" s="679" t="s">
        <v>405</v>
      </c>
      <c r="I1" s="681" t="s">
        <v>451</v>
      </c>
      <c r="J1" s="681" t="s">
        <v>452</v>
      </c>
      <c r="K1" s="681" t="s">
        <v>453</v>
      </c>
      <c r="L1" s="681" t="s">
        <v>454</v>
      </c>
      <c r="M1" s="681" t="s">
        <v>455</v>
      </c>
      <c r="N1" s="681" t="s">
        <v>456</v>
      </c>
    </row>
    <row r="2" spans="1:14" hidden="1" outlineLevel="1" x14ac:dyDescent="0.25">
      <c r="A2" s="497" t="s">
        <v>535</v>
      </c>
      <c r="B2" s="455" t="s">
        <v>214</v>
      </c>
      <c r="C2" s="496">
        <v>4049.16</v>
      </c>
      <c r="D2" s="495">
        <v>2906.53</v>
      </c>
      <c r="E2" s="492">
        <f t="shared" ref="E2:E19" si="0">SUM(C2:D2)</f>
        <v>6955.6900000000005</v>
      </c>
      <c r="F2" s="494">
        <v>2126617.1800000002</v>
      </c>
      <c r="G2" s="493">
        <v>1267272.1399999999</v>
      </c>
      <c r="H2" s="443">
        <f t="shared" ref="H2:H18" si="1">SUM(F2:G2)</f>
        <v>3393889.3200000003</v>
      </c>
      <c r="J2" s="672"/>
      <c r="K2" s="672"/>
      <c r="L2" s="672"/>
      <c r="M2" s="672"/>
      <c r="N2" s="672"/>
    </row>
    <row r="3" spans="1:14" hidden="1" outlineLevel="1" x14ac:dyDescent="0.25">
      <c r="A3" s="497" t="s">
        <v>535</v>
      </c>
      <c r="B3" s="455" t="s">
        <v>216</v>
      </c>
      <c r="C3" s="496">
        <v>0</v>
      </c>
      <c r="D3" s="495">
        <v>0</v>
      </c>
      <c r="E3" s="492">
        <f t="shared" si="0"/>
        <v>0</v>
      </c>
      <c r="F3" s="494">
        <v>0</v>
      </c>
      <c r="G3" s="493">
        <v>0</v>
      </c>
      <c r="H3" s="443">
        <f t="shared" si="1"/>
        <v>0</v>
      </c>
      <c r="J3" s="672"/>
      <c r="K3" s="672"/>
      <c r="L3" s="672"/>
      <c r="M3" s="672"/>
      <c r="N3" s="672"/>
    </row>
    <row r="4" spans="1:14" hidden="1" outlineLevel="1" x14ac:dyDescent="0.25">
      <c r="A4" s="497" t="s">
        <v>535</v>
      </c>
      <c r="B4" s="455" t="s">
        <v>219</v>
      </c>
      <c r="C4" s="496">
        <f>SUM(39118.72+67.28)</f>
        <v>39186</v>
      </c>
      <c r="D4" s="495">
        <f>SUM(2061.6+0)</f>
        <v>2061.6</v>
      </c>
      <c r="E4" s="492">
        <f t="shared" si="0"/>
        <v>41247.599999999999</v>
      </c>
      <c r="F4" s="494">
        <f>SUM(13865708.9+41567.68)</f>
        <v>13907276.58</v>
      </c>
      <c r="G4" s="493">
        <f>SUM(1401216.57+0)</f>
        <v>1401216.57</v>
      </c>
      <c r="H4" s="443">
        <f t="shared" si="1"/>
        <v>15308493.15</v>
      </c>
      <c r="J4" s="672"/>
      <c r="K4" s="672"/>
      <c r="L4" s="672"/>
      <c r="M4" s="672"/>
      <c r="N4" s="672"/>
    </row>
    <row r="5" spans="1:14" hidden="1" outlineLevel="1" x14ac:dyDescent="0.25">
      <c r="A5" s="497" t="s">
        <v>535</v>
      </c>
      <c r="B5" s="455" t="s">
        <v>222</v>
      </c>
      <c r="C5" s="496">
        <v>3200.41</v>
      </c>
      <c r="D5" s="495">
        <v>0</v>
      </c>
      <c r="E5" s="492">
        <f t="shared" si="0"/>
        <v>3200.41</v>
      </c>
      <c r="F5" s="494">
        <v>1589230.56</v>
      </c>
      <c r="G5" s="493">
        <v>0</v>
      </c>
      <c r="H5" s="443">
        <f t="shared" si="1"/>
        <v>1589230.56</v>
      </c>
      <c r="J5" s="672"/>
      <c r="K5" s="672"/>
      <c r="L5" s="672"/>
      <c r="M5" s="672"/>
      <c r="N5" s="672"/>
    </row>
    <row r="6" spans="1:14" hidden="1" outlineLevel="1" x14ac:dyDescent="0.25">
      <c r="A6" s="497" t="s">
        <v>535</v>
      </c>
      <c r="B6" s="455" t="s">
        <v>223</v>
      </c>
      <c r="C6" s="496">
        <v>2461.61</v>
      </c>
      <c r="D6" s="495">
        <v>14456.9</v>
      </c>
      <c r="E6" s="492">
        <f t="shared" si="0"/>
        <v>16918.509999999998</v>
      </c>
      <c r="F6" s="494">
        <v>1023242.22</v>
      </c>
      <c r="G6" s="493">
        <v>6357836.2000000002</v>
      </c>
      <c r="H6" s="443">
        <f t="shared" si="1"/>
        <v>7381078.4199999999</v>
      </c>
      <c r="J6" s="672"/>
      <c r="K6" s="672"/>
      <c r="L6" s="672"/>
      <c r="M6" s="672"/>
      <c r="N6" s="672"/>
    </row>
    <row r="7" spans="1:14" hidden="1" outlineLevel="1" x14ac:dyDescent="0.25">
      <c r="A7" s="497" t="s">
        <v>535</v>
      </c>
      <c r="B7" s="455" t="s">
        <v>231</v>
      </c>
      <c r="C7" s="496">
        <f>SUM(0+209.2)</f>
        <v>209.2</v>
      </c>
      <c r="D7" s="495">
        <f>SUM(6641.39+0)</f>
        <v>6641.39</v>
      </c>
      <c r="E7" s="492">
        <f t="shared" si="0"/>
        <v>6850.59</v>
      </c>
      <c r="F7" s="494">
        <f>SUM(0+9001.87)</f>
        <v>9001.8700000000008</v>
      </c>
      <c r="G7" s="493">
        <f>SUM(2623244.83+0)</f>
        <v>2623244.83</v>
      </c>
      <c r="H7" s="443">
        <f t="shared" si="1"/>
        <v>2632246.7000000002</v>
      </c>
      <c r="J7" s="672"/>
      <c r="K7" s="672"/>
      <c r="L7" s="672"/>
      <c r="M7" s="672"/>
      <c r="N7" s="672"/>
    </row>
    <row r="8" spans="1:14" hidden="1" outlineLevel="1" x14ac:dyDescent="0.25">
      <c r="A8" s="497" t="s">
        <v>535</v>
      </c>
      <c r="B8" s="455" t="s">
        <v>238</v>
      </c>
      <c r="C8" s="496">
        <v>0</v>
      </c>
      <c r="D8" s="495">
        <v>1.65</v>
      </c>
      <c r="E8" s="492">
        <f t="shared" ref="E8" si="2">SUM(C8:D8)</f>
        <v>1.65</v>
      </c>
      <c r="F8" s="494">
        <v>0</v>
      </c>
      <c r="G8" s="493">
        <v>1155</v>
      </c>
      <c r="H8" s="443">
        <f t="shared" ref="H8" si="3">SUM(F8:G8)</f>
        <v>1155</v>
      </c>
      <c r="J8" s="672"/>
      <c r="K8" s="672"/>
      <c r="L8" s="672"/>
      <c r="M8" s="672"/>
      <c r="N8" s="672"/>
    </row>
    <row r="9" spans="1:14" hidden="1" outlineLevel="1" x14ac:dyDescent="0.25">
      <c r="A9" s="497" t="s">
        <v>535</v>
      </c>
      <c r="B9" s="455" t="s">
        <v>239</v>
      </c>
      <c r="C9" s="496">
        <v>0</v>
      </c>
      <c r="D9" s="495">
        <v>1.87</v>
      </c>
      <c r="E9" s="492">
        <f t="shared" si="0"/>
        <v>1.87</v>
      </c>
      <c r="F9" s="494">
        <v>0</v>
      </c>
      <c r="G9" s="493">
        <v>912.65</v>
      </c>
      <c r="H9" s="443">
        <f t="shared" si="1"/>
        <v>912.65</v>
      </c>
      <c r="J9" s="672"/>
      <c r="K9" s="672"/>
      <c r="L9" s="672"/>
      <c r="M9" s="672"/>
      <c r="N9" s="672"/>
    </row>
    <row r="10" spans="1:14" hidden="1" outlineLevel="1" x14ac:dyDescent="0.25">
      <c r="A10" s="497" t="s">
        <v>535</v>
      </c>
      <c r="B10" s="455" t="s">
        <v>241</v>
      </c>
      <c r="C10" s="496">
        <v>0</v>
      </c>
      <c r="D10" s="495">
        <v>0</v>
      </c>
      <c r="E10" s="492">
        <f t="shared" si="0"/>
        <v>0</v>
      </c>
      <c r="F10" s="494">
        <v>0</v>
      </c>
      <c r="G10" s="493">
        <v>0</v>
      </c>
      <c r="H10" s="443">
        <f t="shared" si="1"/>
        <v>0</v>
      </c>
      <c r="J10" s="672"/>
      <c r="K10" s="672"/>
      <c r="L10" s="672"/>
      <c r="M10" s="672"/>
      <c r="N10" s="672"/>
    </row>
    <row r="11" spans="1:14" hidden="1" outlineLevel="1" x14ac:dyDescent="0.25">
      <c r="A11" s="497" t="s">
        <v>535</v>
      </c>
      <c r="B11" s="455" t="s">
        <v>242</v>
      </c>
      <c r="C11" s="496">
        <v>3230.56</v>
      </c>
      <c r="D11" s="495">
        <v>54</v>
      </c>
      <c r="E11" s="492">
        <f t="shared" si="0"/>
        <v>3284.56</v>
      </c>
      <c r="F11" s="494">
        <v>1229605.04</v>
      </c>
      <c r="G11" s="493">
        <v>20034</v>
      </c>
      <c r="H11" s="443">
        <f t="shared" si="1"/>
        <v>1249639.04</v>
      </c>
      <c r="J11" s="672"/>
      <c r="K11" s="672"/>
      <c r="L11" s="672"/>
      <c r="M11" s="672"/>
      <c r="N11" s="672"/>
    </row>
    <row r="12" spans="1:14" hidden="1" outlineLevel="1" x14ac:dyDescent="0.25">
      <c r="A12" s="497" t="s">
        <v>535</v>
      </c>
      <c r="B12" s="455" t="s">
        <v>244</v>
      </c>
      <c r="C12" s="496">
        <v>408.16</v>
      </c>
      <c r="D12" s="495">
        <v>0</v>
      </c>
      <c r="E12" s="492">
        <f t="shared" si="0"/>
        <v>408.16</v>
      </c>
      <c r="F12" s="494">
        <v>123207.03999999999</v>
      </c>
      <c r="G12" s="493">
        <v>0</v>
      </c>
      <c r="H12" s="443">
        <f t="shared" si="1"/>
        <v>123207.03999999999</v>
      </c>
      <c r="J12" s="672"/>
      <c r="K12" s="672"/>
      <c r="L12" s="672"/>
      <c r="M12" s="672"/>
      <c r="N12" s="672"/>
    </row>
    <row r="13" spans="1:14" hidden="1" outlineLevel="1" x14ac:dyDescent="0.25">
      <c r="A13" s="497" t="s">
        <v>535</v>
      </c>
      <c r="B13" s="455" t="s">
        <v>245</v>
      </c>
      <c r="C13" s="496">
        <v>4010.18</v>
      </c>
      <c r="D13" s="495">
        <v>1147.8499999999999</v>
      </c>
      <c r="E13" s="492">
        <f t="shared" si="0"/>
        <v>5158.03</v>
      </c>
      <c r="F13" s="494">
        <v>1884917.65</v>
      </c>
      <c r="G13" s="493">
        <v>470130.47</v>
      </c>
      <c r="H13" s="443">
        <f t="shared" si="1"/>
        <v>2355048.12</v>
      </c>
      <c r="J13" s="672"/>
      <c r="K13" s="672"/>
      <c r="L13" s="672"/>
      <c r="M13" s="672"/>
      <c r="N13" s="672"/>
    </row>
    <row r="14" spans="1:14" hidden="1" outlineLevel="1" x14ac:dyDescent="0.25">
      <c r="A14" s="497" t="s">
        <v>535</v>
      </c>
      <c r="B14" s="455" t="s">
        <v>246</v>
      </c>
      <c r="C14" s="496">
        <v>1821.42</v>
      </c>
      <c r="D14" s="495">
        <v>0</v>
      </c>
      <c r="E14" s="492">
        <f>SUM(C14:D14)</f>
        <v>1821.42</v>
      </c>
      <c r="F14" s="494">
        <v>563177.79</v>
      </c>
      <c r="G14" s="493">
        <v>0</v>
      </c>
      <c r="H14" s="443">
        <f t="shared" si="1"/>
        <v>563177.79</v>
      </c>
      <c r="J14" s="672"/>
      <c r="K14" s="672"/>
      <c r="L14" s="672"/>
      <c r="M14" s="672"/>
      <c r="N14" s="672"/>
    </row>
    <row r="15" spans="1:14" hidden="1" outlineLevel="1" x14ac:dyDescent="0.25">
      <c r="A15" s="497" t="s">
        <v>535</v>
      </c>
      <c r="B15" s="455" t="s">
        <v>248</v>
      </c>
      <c r="C15" s="496">
        <v>1019.55</v>
      </c>
      <c r="D15" s="495">
        <v>0.1</v>
      </c>
      <c r="E15" s="492">
        <f t="shared" si="0"/>
        <v>1019.65</v>
      </c>
      <c r="F15" s="494">
        <v>665035.11</v>
      </c>
      <c r="G15" s="493">
        <v>96.4</v>
      </c>
      <c r="H15" s="443">
        <f t="shared" si="1"/>
        <v>665131.51</v>
      </c>
      <c r="J15" s="672"/>
      <c r="K15" s="672"/>
      <c r="L15" s="672"/>
      <c r="M15" s="672"/>
      <c r="N15" s="672"/>
    </row>
    <row r="16" spans="1:14" hidden="1" outlineLevel="1" x14ac:dyDescent="0.25">
      <c r="A16" s="497" t="s">
        <v>535</v>
      </c>
      <c r="B16" s="455" t="s">
        <v>252</v>
      </c>
      <c r="C16" s="496">
        <v>2658.1</v>
      </c>
      <c r="D16" s="495">
        <v>0</v>
      </c>
      <c r="E16" s="492">
        <f t="shared" si="0"/>
        <v>2658.1</v>
      </c>
      <c r="F16" s="494">
        <v>1623753.36</v>
      </c>
      <c r="G16" s="493">
        <v>0</v>
      </c>
      <c r="H16" s="443">
        <f t="shared" si="1"/>
        <v>1623753.36</v>
      </c>
      <c r="J16" s="672"/>
      <c r="K16" s="672"/>
      <c r="L16" s="672"/>
      <c r="M16" s="672"/>
      <c r="N16" s="672"/>
    </row>
    <row r="17" spans="1:15" hidden="1" outlineLevel="1" x14ac:dyDescent="0.25">
      <c r="A17" s="497" t="s">
        <v>535</v>
      </c>
      <c r="B17" s="455" t="s">
        <v>224</v>
      </c>
      <c r="C17" s="496">
        <f>SUM(4078.87+18664.8)</f>
        <v>22743.67</v>
      </c>
      <c r="D17" s="495">
        <f>SUM(0+0)</f>
        <v>0</v>
      </c>
      <c r="E17" s="492">
        <f t="shared" si="0"/>
        <v>22743.67</v>
      </c>
      <c r="F17" s="494">
        <f>SUM(1327241.12+5073761.75)</f>
        <v>6401002.8700000001</v>
      </c>
      <c r="G17" s="493">
        <f>SUM(0+0)</f>
        <v>0</v>
      </c>
      <c r="H17" s="443">
        <f t="shared" si="1"/>
        <v>6401002.8700000001</v>
      </c>
      <c r="J17" s="672"/>
      <c r="K17" s="672"/>
      <c r="L17" s="672"/>
      <c r="M17" s="672"/>
      <c r="N17" s="672"/>
    </row>
    <row r="18" spans="1:15" hidden="1" outlineLevel="1" x14ac:dyDescent="0.25">
      <c r="A18" s="497" t="s">
        <v>535</v>
      </c>
      <c r="B18" s="455" t="s">
        <v>259</v>
      </c>
      <c r="C18" s="496">
        <f>SUM(1881.41)</f>
        <v>1881.41</v>
      </c>
      <c r="D18" s="495">
        <f>SUM(0)</f>
        <v>0</v>
      </c>
      <c r="E18" s="492">
        <f t="shared" si="0"/>
        <v>1881.41</v>
      </c>
      <c r="F18" s="494">
        <f>SUM(700471.74)</f>
        <v>700471.74</v>
      </c>
      <c r="G18" s="493">
        <f>SUM(0)</f>
        <v>0</v>
      </c>
      <c r="H18" s="443">
        <f t="shared" si="1"/>
        <v>700471.74</v>
      </c>
      <c r="J18" s="672"/>
      <c r="K18" s="672"/>
      <c r="L18" s="672"/>
      <c r="M18" s="672"/>
      <c r="N18" s="672"/>
    </row>
    <row r="19" spans="1:15" s="481" customFormat="1" ht="14.4" collapsed="1" thickBot="1" x14ac:dyDescent="0.3">
      <c r="A19" s="628">
        <v>1994</v>
      </c>
      <c r="B19" s="627" t="s">
        <v>403</v>
      </c>
      <c r="C19" s="633">
        <f>SUM(C2:C18)</f>
        <v>86879.430000000008</v>
      </c>
      <c r="D19" s="648">
        <f>SUM(D2:D18)</f>
        <v>27271.889999999996</v>
      </c>
      <c r="E19" s="649">
        <f t="shared" si="0"/>
        <v>114151.32</v>
      </c>
      <c r="F19" s="634">
        <f>SUM(F2:F18)</f>
        <v>31846539.009999994</v>
      </c>
      <c r="G19" s="641">
        <f>SUM(G2:G18)</f>
        <v>12141898.260000002</v>
      </c>
      <c r="H19" s="652">
        <f t="shared" ref="H19" si="4">+G19+F19</f>
        <v>43988437.269999996</v>
      </c>
      <c r="I19" s="672">
        <f>+'TAB1.0 Accomplshmnt by District'!E21-C19</f>
        <v>0</v>
      </c>
      <c r="J19" s="672">
        <f>+'TAB1.0 Accomplshmnt by District'!G21-D19</f>
        <v>-1.6499999999941792</v>
      </c>
      <c r="K19" s="672">
        <f>+'TAB1.0 Accomplshmnt by District'!I21-E19</f>
        <v>-1.6499999999941792</v>
      </c>
      <c r="L19" s="672">
        <f>+'TAB1.0 Accomplshmnt by District'!J21-F19</f>
        <v>0</v>
      </c>
      <c r="M19" s="672">
        <f>+'TAB1.0 Accomplshmnt by District'!L21-G19</f>
        <v>-1155.0000000018626</v>
      </c>
      <c r="N19" s="672">
        <f>+'TAB1.0 Accomplshmnt by District'!N21-H19</f>
        <v>-1154.9999999925494</v>
      </c>
      <c r="O19" s="921" t="s">
        <v>537</v>
      </c>
    </row>
    <row r="20" spans="1:15" ht="14.4" hidden="1" outlineLevel="1" thickTop="1" x14ac:dyDescent="0.25">
      <c r="A20" s="497" t="s">
        <v>534</v>
      </c>
      <c r="B20" s="455" t="s">
        <v>214</v>
      </c>
      <c r="C20" s="496">
        <v>4358.8100000000004</v>
      </c>
      <c r="D20" s="495">
        <v>291.62</v>
      </c>
      <c r="E20" s="492">
        <f t="shared" ref="E20:E37" si="5">SUM(C20:D20)</f>
        <v>4650.43</v>
      </c>
      <c r="F20" s="494">
        <v>3268791.37</v>
      </c>
      <c r="G20" s="493">
        <v>225757.36</v>
      </c>
      <c r="H20" s="443">
        <f t="shared" ref="H20:H36" si="6">SUM(F20:G20)</f>
        <v>3494548.73</v>
      </c>
      <c r="J20" s="672"/>
      <c r="K20" s="672"/>
      <c r="L20" s="672"/>
      <c r="M20" s="672"/>
      <c r="N20" s="672"/>
    </row>
    <row r="21" spans="1:15" hidden="1" outlineLevel="1" x14ac:dyDescent="0.25">
      <c r="A21" s="497" t="s">
        <v>534</v>
      </c>
      <c r="B21" s="455" t="s">
        <v>216</v>
      </c>
      <c r="C21" s="496">
        <v>0</v>
      </c>
      <c r="D21" s="495">
        <v>0</v>
      </c>
      <c r="E21" s="492">
        <f t="shared" si="5"/>
        <v>0</v>
      </c>
      <c r="F21" s="494">
        <v>0</v>
      </c>
      <c r="G21" s="493">
        <v>0</v>
      </c>
      <c r="H21" s="443">
        <f t="shared" si="6"/>
        <v>0</v>
      </c>
      <c r="J21" s="672"/>
      <c r="K21" s="672"/>
      <c r="L21" s="672"/>
      <c r="M21" s="672"/>
      <c r="N21" s="672"/>
    </row>
    <row r="22" spans="1:15" hidden="1" outlineLevel="1" x14ac:dyDescent="0.25">
      <c r="A22" s="497" t="s">
        <v>534</v>
      </c>
      <c r="B22" s="455" t="s">
        <v>219</v>
      </c>
      <c r="C22" s="496">
        <f>SUM(39965.2+56)</f>
        <v>40021.199999999997</v>
      </c>
      <c r="D22" s="495">
        <f>SUM(0.07+0)</f>
        <v>7.0000000000000007E-2</v>
      </c>
      <c r="E22" s="492">
        <f t="shared" si="5"/>
        <v>40021.269999999997</v>
      </c>
      <c r="F22" s="494">
        <f>SUM(18458389.2+30101.16)</f>
        <v>18488490.359999999</v>
      </c>
      <c r="G22" s="493">
        <f>SUM(26.76+0)</f>
        <v>26.76</v>
      </c>
      <c r="H22" s="443">
        <f t="shared" si="6"/>
        <v>18488517.120000001</v>
      </c>
      <c r="J22" s="672"/>
      <c r="K22" s="672"/>
      <c r="L22" s="672"/>
      <c r="M22" s="672"/>
      <c r="N22" s="672"/>
    </row>
    <row r="23" spans="1:15" hidden="1" outlineLevel="1" x14ac:dyDescent="0.25">
      <c r="A23" s="497" t="s">
        <v>534</v>
      </c>
      <c r="B23" s="455" t="s">
        <v>222</v>
      </c>
      <c r="C23" s="496">
        <v>2422</v>
      </c>
      <c r="D23" s="495">
        <v>0</v>
      </c>
      <c r="E23" s="492">
        <f>SUM(C23:D23)</f>
        <v>2422</v>
      </c>
      <c r="F23" s="494">
        <v>2505994.92</v>
      </c>
      <c r="G23" s="493">
        <v>0</v>
      </c>
      <c r="H23" s="443">
        <f t="shared" si="6"/>
        <v>2505994.92</v>
      </c>
      <c r="J23" s="672"/>
      <c r="K23" s="672"/>
      <c r="L23" s="672"/>
      <c r="M23" s="672"/>
      <c r="N23" s="672"/>
    </row>
    <row r="24" spans="1:15" hidden="1" outlineLevel="1" x14ac:dyDescent="0.25">
      <c r="A24" s="497" t="s">
        <v>534</v>
      </c>
      <c r="B24" s="455" t="s">
        <v>223</v>
      </c>
      <c r="C24" s="496">
        <v>17.690000000000001</v>
      </c>
      <c r="D24" s="495">
        <v>10133.18</v>
      </c>
      <c r="E24" s="492">
        <f t="shared" si="5"/>
        <v>10150.870000000001</v>
      </c>
      <c r="F24" s="494">
        <v>9643.7999999999993</v>
      </c>
      <c r="G24" s="493">
        <v>6484416.21</v>
      </c>
      <c r="H24" s="443">
        <f t="shared" si="6"/>
        <v>6494060.0099999998</v>
      </c>
      <c r="J24" s="672"/>
      <c r="K24" s="672"/>
      <c r="L24" s="672"/>
      <c r="M24" s="672"/>
      <c r="N24" s="672"/>
    </row>
    <row r="25" spans="1:15" hidden="1" outlineLevel="1" x14ac:dyDescent="0.25">
      <c r="A25" s="497" t="s">
        <v>534</v>
      </c>
      <c r="B25" s="455" t="s">
        <v>231</v>
      </c>
      <c r="C25" s="496">
        <v>0</v>
      </c>
      <c r="D25" s="495">
        <v>1350.53</v>
      </c>
      <c r="E25" s="492">
        <f t="shared" si="5"/>
        <v>1350.53</v>
      </c>
      <c r="F25" s="494">
        <v>0</v>
      </c>
      <c r="G25" s="493">
        <v>885090.44</v>
      </c>
      <c r="H25" s="443">
        <f t="shared" si="6"/>
        <v>885090.44</v>
      </c>
      <c r="J25" s="672"/>
      <c r="K25" s="672"/>
      <c r="L25" s="672"/>
      <c r="M25" s="672"/>
      <c r="N25" s="672"/>
    </row>
    <row r="26" spans="1:15" hidden="1" outlineLevel="1" x14ac:dyDescent="0.25">
      <c r="A26" s="497" t="s">
        <v>534</v>
      </c>
      <c r="B26" s="455" t="s">
        <v>239</v>
      </c>
      <c r="C26" s="496">
        <v>0</v>
      </c>
      <c r="D26" s="495">
        <v>0</v>
      </c>
      <c r="E26" s="492">
        <f t="shared" si="5"/>
        <v>0</v>
      </c>
      <c r="F26" s="494">
        <v>0</v>
      </c>
      <c r="G26" s="493">
        <v>0</v>
      </c>
      <c r="H26" s="443">
        <f t="shared" si="6"/>
        <v>0</v>
      </c>
      <c r="J26" s="672"/>
      <c r="K26" s="672"/>
      <c r="L26" s="672"/>
      <c r="M26" s="672"/>
      <c r="N26" s="672"/>
    </row>
    <row r="27" spans="1:15" hidden="1" outlineLevel="1" x14ac:dyDescent="0.25">
      <c r="A27" s="497" t="s">
        <v>534</v>
      </c>
      <c r="B27" s="455" t="s">
        <v>241</v>
      </c>
      <c r="C27" s="496">
        <v>0</v>
      </c>
      <c r="D27" s="495">
        <v>0</v>
      </c>
      <c r="E27" s="492">
        <f t="shared" si="5"/>
        <v>0</v>
      </c>
      <c r="F27" s="494">
        <v>0</v>
      </c>
      <c r="G27" s="493">
        <v>0</v>
      </c>
      <c r="H27" s="443">
        <f t="shared" si="6"/>
        <v>0</v>
      </c>
      <c r="J27" s="672"/>
      <c r="K27" s="672"/>
      <c r="L27" s="672"/>
      <c r="M27" s="672"/>
      <c r="N27" s="672"/>
    </row>
    <row r="28" spans="1:15" hidden="1" outlineLevel="1" x14ac:dyDescent="0.25">
      <c r="A28" s="497" t="s">
        <v>534</v>
      </c>
      <c r="B28" s="455" t="s">
        <v>242</v>
      </c>
      <c r="C28" s="496">
        <v>4215.08</v>
      </c>
      <c r="D28" s="495">
        <v>802.6</v>
      </c>
      <c r="E28" s="492">
        <f t="shared" si="5"/>
        <v>5017.68</v>
      </c>
      <c r="F28" s="494">
        <v>1186460.82</v>
      </c>
      <c r="G28" s="493">
        <v>59400.4</v>
      </c>
      <c r="H28" s="443">
        <f>SUM(F28:G28)</f>
        <v>1245861.22</v>
      </c>
      <c r="J28" s="672"/>
      <c r="K28" s="672"/>
      <c r="L28" s="672"/>
      <c r="M28" s="672"/>
      <c r="N28" s="672"/>
    </row>
    <row r="29" spans="1:15" hidden="1" outlineLevel="1" x14ac:dyDescent="0.25">
      <c r="A29" s="497" t="s">
        <v>534</v>
      </c>
      <c r="B29" s="455" t="s">
        <v>244</v>
      </c>
      <c r="C29" s="496">
        <v>0</v>
      </c>
      <c r="D29" s="495">
        <v>3014.4</v>
      </c>
      <c r="E29" s="492">
        <f t="shared" si="5"/>
        <v>3014.4</v>
      </c>
      <c r="F29" s="494">
        <v>0</v>
      </c>
      <c r="G29" s="493">
        <v>1629183.51</v>
      </c>
      <c r="H29" s="443">
        <f t="shared" si="6"/>
        <v>1629183.51</v>
      </c>
      <c r="J29" s="672"/>
      <c r="K29" s="672"/>
      <c r="L29" s="672"/>
      <c r="M29" s="672"/>
      <c r="N29" s="672"/>
    </row>
    <row r="30" spans="1:15" hidden="1" outlineLevel="1" x14ac:dyDescent="0.25">
      <c r="A30" s="497" t="s">
        <v>534</v>
      </c>
      <c r="B30" s="455" t="s">
        <v>245</v>
      </c>
      <c r="C30" s="496">
        <v>3870.51</v>
      </c>
      <c r="D30" s="495">
        <v>4992.25</v>
      </c>
      <c r="E30" s="492">
        <f t="shared" si="5"/>
        <v>8862.76</v>
      </c>
      <c r="F30" s="494">
        <v>2506043.7599999998</v>
      </c>
      <c r="G30" s="493">
        <v>2191145.0499999998</v>
      </c>
      <c r="H30" s="443">
        <f t="shared" si="6"/>
        <v>4697188.8099999996</v>
      </c>
      <c r="J30" s="672"/>
      <c r="K30" s="672"/>
      <c r="L30" s="672"/>
      <c r="M30" s="672"/>
      <c r="N30" s="672"/>
    </row>
    <row r="31" spans="1:15" hidden="1" outlineLevel="1" x14ac:dyDescent="0.25">
      <c r="A31" s="497" t="s">
        <v>534</v>
      </c>
      <c r="B31" s="455" t="s">
        <v>246</v>
      </c>
      <c r="C31" s="496">
        <v>2364.16</v>
      </c>
      <c r="D31" s="495">
        <v>0</v>
      </c>
      <c r="E31" s="492">
        <f t="shared" si="5"/>
        <v>2364.16</v>
      </c>
      <c r="F31" s="494">
        <v>919818.3</v>
      </c>
      <c r="G31" s="493">
        <v>0</v>
      </c>
      <c r="H31" s="443">
        <f t="shared" si="6"/>
        <v>919818.3</v>
      </c>
      <c r="J31" s="672"/>
      <c r="K31" s="672"/>
      <c r="L31" s="672"/>
      <c r="M31" s="672"/>
      <c r="N31" s="672"/>
    </row>
    <row r="32" spans="1:15" hidden="1" outlineLevel="1" x14ac:dyDescent="0.25">
      <c r="A32" s="497" t="s">
        <v>534</v>
      </c>
      <c r="B32" s="455" t="s">
        <v>248</v>
      </c>
      <c r="C32" s="496">
        <v>10007.43</v>
      </c>
      <c r="D32" s="495">
        <v>47.28</v>
      </c>
      <c r="E32" s="492">
        <f t="shared" si="5"/>
        <v>10054.710000000001</v>
      </c>
      <c r="F32" s="494">
        <v>7060423.04</v>
      </c>
      <c r="G32" s="493">
        <v>44423.81</v>
      </c>
      <c r="H32" s="443">
        <f t="shared" si="6"/>
        <v>7104846.8499999996</v>
      </c>
      <c r="J32" s="672"/>
      <c r="K32" s="672"/>
      <c r="L32" s="672"/>
      <c r="M32" s="672"/>
      <c r="N32" s="672"/>
    </row>
    <row r="33" spans="1:15" hidden="1" outlineLevel="1" x14ac:dyDescent="0.25">
      <c r="A33" s="497" t="s">
        <v>534</v>
      </c>
      <c r="B33" s="455" t="s">
        <v>252</v>
      </c>
      <c r="C33" s="496">
        <v>139.9</v>
      </c>
      <c r="D33" s="495">
        <v>0</v>
      </c>
      <c r="E33" s="492">
        <f t="shared" si="5"/>
        <v>139.9</v>
      </c>
      <c r="F33" s="494">
        <v>85460.7</v>
      </c>
      <c r="G33" s="493">
        <v>0</v>
      </c>
      <c r="H33" s="443">
        <f t="shared" si="6"/>
        <v>85460.7</v>
      </c>
      <c r="J33" s="672"/>
      <c r="K33" s="672"/>
      <c r="L33" s="672"/>
      <c r="M33" s="672"/>
      <c r="N33" s="672"/>
    </row>
    <row r="34" spans="1:15" hidden="1" outlineLevel="1" x14ac:dyDescent="0.25">
      <c r="A34" s="497" t="s">
        <v>534</v>
      </c>
      <c r="B34" s="455" t="s">
        <v>224</v>
      </c>
      <c r="C34" s="496">
        <f>SUM(8985.53+12527.53)</f>
        <v>21513.06</v>
      </c>
      <c r="D34" s="495">
        <f>SUM(0+319.36)</f>
        <v>319.36</v>
      </c>
      <c r="E34" s="492">
        <f t="shared" si="5"/>
        <v>21832.420000000002</v>
      </c>
      <c r="F34" s="494">
        <f>SUM(5421078.8+3344260.81)</f>
        <v>8765339.6099999994</v>
      </c>
      <c r="G34" s="493">
        <f>SUM(0+124397.15)</f>
        <v>124397.15</v>
      </c>
      <c r="H34" s="443">
        <f t="shared" si="6"/>
        <v>8889736.7599999998</v>
      </c>
      <c r="J34" s="672"/>
      <c r="K34" s="672"/>
      <c r="L34" s="672"/>
      <c r="M34" s="672"/>
      <c r="N34" s="672"/>
    </row>
    <row r="35" spans="1:15" hidden="1" outlineLevel="1" x14ac:dyDescent="0.25">
      <c r="A35" s="497" t="s">
        <v>534</v>
      </c>
      <c r="B35" s="455" t="s">
        <v>536</v>
      </c>
      <c r="C35" s="496">
        <v>0</v>
      </c>
      <c r="D35" s="495">
        <v>1296.3</v>
      </c>
      <c r="E35" s="492">
        <f t="shared" ref="E35" si="7">SUM(C35:D35)</f>
        <v>1296.3</v>
      </c>
      <c r="F35" s="494">
        <v>0</v>
      </c>
      <c r="G35" s="493">
        <v>413104.86</v>
      </c>
      <c r="H35" s="443">
        <f t="shared" ref="H35" si="8">SUM(F35:G35)</f>
        <v>413104.86</v>
      </c>
      <c r="J35" s="672"/>
      <c r="K35" s="672"/>
      <c r="L35" s="672"/>
      <c r="M35" s="672"/>
      <c r="N35" s="672"/>
    </row>
    <row r="36" spans="1:15" hidden="1" outlineLevel="1" x14ac:dyDescent="0.25">
      <c r="A36" s="497" t="s">
        <v>534</v>
      </c>
      <c r="B36" s="455" t="s">
        <v>259</v>
      </c>
      <c r="C36" s="496">
        <f>SUM(5159.35)</f>
        <v>5159.3500000000004</v>
      </c>
      <c r="D36" s="495">
        <f>SUM(0)</f>
        <v>0</v>
      </c>
      <c r="E36" s="492">
        <f t="shared" si="5"/>
        <v>5159.3500000000004</v>
      </c>
      <c r="F36" s="494">
        <f>SUM(2531723.47)</f>
        <v>2531723.4700000002</v>
      </c>
      <c r="G36" s="493">
        <f>SUM(0)</f>
        <v>0</v>
      </c>
      <c r="H36" s="443">
        <f t="shared" si="6"/>
        <v>2531723.4700000002</v>
      </c>
      <c r="J36" s="672"/>
      <c r="K36" s="672"/>
      <c r="L36" s="672"/>
      <c r="M36" s="672"/>
      <c r="N36" s="672"/>
    </row>
    <row r="37" spans="1:15" s="481" customFormat="1" ht="15" collapsed="1" thickTop="1" thickBot="1" x14ac:dyDescent="0.3">
      <c r="A37" s="628">
        <v>1995</v>
      </c>
      <c r="B37" s="627" t="s">
        <v>403</v>
      </c>
      <c r="C37" s="633">
        <f>SUM(C20:C36)</f>
        <v>94089.19</v>
      </c>
      <c r="D37" s="648">
        <f>SUM(D20:D36)</f>
        <v>22247.59</v>
      </c>
      <c r="E37" s="649">
        <f t="shared" si="5"/>
        <v>116336.78</v>
      </c>
      <c r="F37" s="634">
        <f>SUM(F20:F36)</f>
        <v>47328190.150000006</v>
      </c>
      <c r="G37" s="641">
        <f>SUM(G20:G36)</f>
        <v>12056945.550000001</v>
      </c>
      <c r="H37" s="652">
        <f t="shared" ref="H37" si="9">+G37+F37</f>
        <v>59385135.700000003</v>
      </c>
      <c r="I37" s="672">
        <f>+'TAB1.0 Accomplshmnt by District'!E31-C37</f>
        <v>0</v>
      </c>
      <c r="J37" s="672">
        <f>+'TAB1.0 Accomplshmnt by District'!G31-D37</f>
        <v>-0.53999999999723514</v>
      </c>
      <c r="K37" s="672">
        <f>+'TAB1.0 Accomplshmnt by District'!I31-E37</f>
        <v>-0.53999999999359716</v>
      </c>
      <c r="L37" s="672">
        <f>+'TAB1.0 Accomplshmnt by District'!J31-F37</f>
        <v>0</v>
      </c>
      <c r="M37" s="672">
        <f>+'TAB1.0 Accomplshmnt by District'!L31-G37</f>
        <v>0</v>
      </c>
      <c r="N37" s="672">
        <f>+'TAB1.0 Accomplshmnt by District'!N31-H37</f>
        <v>0</v>
      </c>
      <c r="O37" s="482"/>
    </row>
    <row r="38" spans="1:15" ht="14.4" hidden="1" outlineLevel="1" thickTop="1" x14ac:dyDescent="0.25">
      <c r="A38" s="497" t="s">
        <v>434</v>
      </c>
      <c r="B38" s="455" t="s">
        <v>214</v>
      </c>
      <c r="C38" s="496">
        <v>1623.61</v>
      </c>
      <c r="D38" s="495">
        <v>0</v>
      </c>
      <c r="E38" s="492">
        <f t="shared" ref="E38:E54" si="10">SUM(C38:D38)</f>
        <v>1623.61</v>
      </c>
      <c r="F38" s="494">
        <v>516761.52</v>
      </c>
      <c r="G38" s="493">
        <v>0</v>
      </c>
      <c r="H38" s="443">
        <f t="shared" ref="H38:H53" si="11">SUM(F38:G38)</f>
        <v>516761.52</v>
      </c>
      <c r="J38" s="672"/>
      <c r="K38" s="672"/>
      <c r="L38" s="672"/>
      <c r="M38" s="672"/>
      <c r="N38" s="672"/>
    </row>
    <row r="39" spans="1:15" hidden="1" outlineLevel="1" x14ac:dyDescent="0.25">
      <c r="A39" s="497" t="s">
        <v>434</v>
      </c>
      <c r="B39" s="455" t="s">
        <v>216</v>
      </c>
      <c r="C39" s="496">
        <v>0</v>
      </c>
      <c r="D39" s="495">
        <v>0</v>
      </c>
      <c r="E39" s="492">
        <f t="shared" si="10"/>
        <v>0</v>
      </c>
      <c r="F39" s="494">
        <v>0</v>
      </c>
      <c r="G39" s="493">
        <v>0</v>
      </c>
      <c r="H39" s="443">
        <f t="shared" si="11"/>
        <v>0</v>
      </c>
      <c r="J39" s="672"/>
      <c r="K39" s="672"/>
      <c r="L39" s="672"/>
      <c r="M39" s="672"/>
      <c r="N39" s="672"/>
    </row>
    <row r="40" spans="1:15" hidden="1" outlineLevel="1" x14ac:dyDescent="0.25">
      <c r="A40" s="497" t="s">
        <v>434</v>
      </c>
      <c r="B40" s="455" t="s">
        <v>219</v>
      </c>
      <c r="C40" s="496">
        <f>SUM(32635.24)</f>
        <v>32635.24</v>
      </c>
      <c r="D40" s="495">
        <f>SUM(0)</f>
        <v>0</v>
      </c>
      <c r="E40" s="492">
        <f t="shared" si="10"/>
        <v>32635.24</v>
      </c>
      <c r="F40" s="494">
        <f>SUM(15523971.79)</f>
        <v>15523971.789999999</v>
      </c>
      <c r="G40" s="493">
        <f>SUM(0)</f>
        <v>0</v>
      </c>
      <c r="H40" s="443">
        <f t="shared" si="11"/>
        <v>15523971.789999999</v>
      </c>
      <c r="J40" s="672"/>
      <c r="K40" s="672"/>
      <c r="L40" s="672"/>
      <c r="M40" s="672"/>
      <c r="N40" s="672"/>
    </row>
    <row r="41" spans="1:15" hidden="1" outlineLevel="1" x14ac:dyDescent="0.25">
      <c r="A41" s="497" t="s">
        <v>434</v>
      </c>
      <c r="B41" s="455" t="s">
        <v>222</v>
      </c>
      <c r="C41" s="496">
        <v>4327.4799999999996</v>
      </c>
      <c r="D41" s="495">
        <v>0</v>
      </c>
      <c r="E41" s="492">
        <f>SUM(C41:D41)</f>
        <v>4327.4799999999996</v>
      </c>
      <c r="F41" s="494">
        <v>3107415.9</v>
      </c>
      <c r="G41" s="493">
        <v>0</v>
      </c>
      <c r="H41" s="443">
        <f t="shared" si="11"/>
        <v>3107415.9</v>
      </c>
      <c r="J41" s="672"/>
      <c r="K41" s="672"/>
      <c r="L41" s="672"/>
      <c r="M41" s="672"/>
      <c r="N41" s="672"/>
    </row>
    <row r="42" spans="1:15" hidden="1" outlineLevel="1" x14ac:dyDescent="0.25">
      <c r="A42" s="497" t="s">
        <v>434</v>
      </c>
      <c r="B42" s="455" t="s">
        <v>223</v>
      </c>
      <c r="C42" s="496">
        <v>0</v>
      </c>
      <c r="D42" s="495">
        <v>13826.75</v>
      </c>
      <c r="E42" s="492">
        <f t="shared" si="10"/>
        <v>13826.75</v>
      </c>
      <c r="F42" s="494">
        <v>0</v>
      </c>
      <c r="G42" s="493">
        <v>11534033.189999999</v>
      </c>
      <c r="H42" s="443">
        <f t="shared" si="11"/>
        <v>11534033.189999999</v>
      </c>
      <c r="J42" s="672"/>
      <c r="K42" s="672"/>
      <c r="L42" s="672"/>
      <c r="M42" s="672"/>
      <c r="N42" s="672"/>
    </row>
    <row r="43" spans="1:15" hidden="1" outlineLevel="1" x14ac:dyDescent="0.25">
      <c r="A43" s="497" t="s">
        <v>434</v>
      </c>
      <c r="B43" s="455" t="s">
        <v>231</v>
      </c>
      <c r="C43" s="496">
        <f>SUM(0+192.67)</f>
        <v>192.67</v>
      </c>
      <c r="D43" s="495">
        <f>SUM(510.29+18.07)</f>
        <v>528.36</v>
      </c>
      <c r="E43" s="492">
        <f t="shared" si="10"/>
        <v>721.03</v>
      </c>
      <c r="F43" s="494">
        <f>SUM(0+97890.39)</f>
        <v>97890.39</v>
      </c>
      <c r="G43" s="493">
        <f>+SUM(453284.5+3499.97)</f>
        <v>456784.47</v>
      </c>
      <c r="H43" s="443">
        <f t="shared" si="11"/>
        <v>554674.86</v>
      </c>
      <c r="J43" s="672"/>
      <c r="K43" s="672"/>
      <c r="L43" s="672"/>
      <c r="M43" s="672"/>
      <c r="N43" s="672"/>
    </row>
    <row r="44" spans="1:15" hidden="1" outlineLevel="1" x14ac:dyDescent="0.25">
      <c r="A44" s="497" t="s">
        <v>434</v>
      </c>
      <c r="B44" s="455" t="s">
        <v>237</v>
      </c>
      <c r="C44" s="496">
        <v>0</v>
      </c>
      <c r="D44" s="495">
        <v>3.47</v>
      </c>
      <c r="E44" s="492">
        <f t="shared" si="10"/>
        <v>3.47</v>
      </c>
      <c r="F44" s="494">
        <v>0</v>
      </c>
      <c r="G44" s="493">
        <v>592.80999999999995</v>
      </c>
      <c r="H44" s="443">
        <f t="shared" si="11"/>
        <v>592.80999999999995</v>
      </c>
      <c r="J44" s="672"/>
      <c r="K44" s="672"/>
      <c r="L44" s="672"/>
      <c r="M44" s="672"/>
      <c r="N44" s="672"/>
    </row>
    <row r="45" spans="1:15" hidden="1" outlineLevel="1" x14ac:dyDescent="0.25">
      <c r="A45" s="497" t="s">
        <v>434</v>
      </c>
      <c r="B45" s="455" t="s">
        <v>241</v>
      </c>
      <c r="C45" s="496">
        <v>13.86</v>
      </c>
      <c r="D45" s="495">
        <v>0</v>
      </c>
      <c r="E45" s="492">
        <f t="shared" si="10"/>
        <v>13.86</v>
      </c>
      <c r="F45" s="494">
        <v>4798.75</v>
      </c>
      <c r="G45" s="493">
        <v>0</v>
      </c>
      <c r="H45" s="443">
        <f t="shared" si="11"/>
        <v>4798.75</v>
      </c>
      <c r="J45" s="672"/>
      <c r="K45" s="672"/>
      <c r="L45" s="672"/>
      <c r="M45" s="672"/>
      <c r="N45" s="672"/>
    </row>
    <row r="46" spans="1:15" hidden="1" outlineLevel="1" x14ac:dyDescent="0.25">
      <c r="A46" s="497" t="s">
        <v>434</v>
      </c>
      <c r="B46" s="455" t="s">
        <v>242</v>
      </c>
      <c r="C46" s="496">
        <v>7474.08</v>
      </c>
      <c r="D46" s="495">
        <v>513.63</v>
      </c>
      <c r="E46" s="492">
        <f t="shared" si="10"/>
        <v>7987.71</v>
      </c>
      <c r="F46" s="494">
        <v>3194751.67</v>
      </c>
      <c r="G46" s="493">
        <v>143477.01999999999</v>
      </c>
      <c r="H46" s="443">
        <f t="shared" si="11"/>
        <v>3338228.69</v>
      </c>
      <c r="J46" s="672"/>
      <c r="K46" s="672"/>
      <c r="L46" s="672"/>
      <c r="M46" s="672"/>
      <c r="N46" s="672"/>
    </row>
    <row r="47" spans="1:15" hidden="1" outlineLevel="1" x14ac:dyDescent="0.25">
      <c r="A47" s="497" t="s">
        <v>434</v>
      </c>
      <c r="B47" s="455" t="s">
        <v>244</v>
      </c>
      <c r="C47" s="496">
        <v>836.01</v>
      </c>
      <c r="D47" s="495">
        <v>0</v>
      </c>
      <c r="E47" s="492">
        <f t="shared" si="10"/>
        <v>836.01</v>
      </c>
      <c r="F47" s="494">
        <v>447914.53</v>
      </c>
      <c r="G47" s="493">
        <v>0</v>
      </c>
      <c r="H47" s="443">
        <f t="shared" si="11"/>
        <v>447914.53</v>
      </c>
      <c r="J47" s="672"/>
      <c r="K47" s="672"/>
      <c r="L47" s="672"/>
      <c r="M47" s="672"/>
      <c r="N47" s="672"/>
    </row>
    <row r="48" spans="1:15" hidden="1" outlineLevel="1" x14ac:dyDescent="0.25">
      <c r="A48" s="497" t="s">
        <v>434</v>
      </c>
      <c r="B48" s="455" t="s">
        <v>245</v>
      </c>
      <c r="C48" s="496">
        <v>4425.9799999999996</v>
      </c>
      <c r="D48" s="495">
        <v>4337.83</v>
      </c>
      <c r="E48" s="492">
        <f t="shared" si="10"/>
        <v>8763.81</v>
      </c>
      <c r="F48" s="494">
        <v>2997484.85</v>
      </c>
      <c r="G48" s="493">
        <v>3382344.66</v>
      </c>
      <c r="H48" s="443">
        <f t="shared" si="11"/>
        <v>6379829.5099999998</v>
      </c>
      <c r="J48" s="672"/>
      <c r="K48" s="672"/>
      <c r="L48" s="672"/>
      <c r="M48" s="672"/>
      <c r="N48" s="672"/>
    </row>
    <row r="49" spans="1:15" hidden="1" outlineLevel="1" x14ac:dyDescent="0.25">
      <c r="A49" s="497" t="s">
        <v>434</v>
      </c>
      <c r="B49" s="455" t="s">
        <v>246</v>
      </c>
      <c r="C49" s="496">
        <v>2041.09</v>
      </c>
      <c r="D49" s="495">
        <v>0</v>
      </c>
      <c r="E49" s="492">
        <f t="shared" si="10"/>
        <v>2041.09</v>
      </c>
      <c r="F49" s="494">
        <v>1036850.34</v>
      </c>
      <c r="G49" s="493">
        <v>0</v>
      </c>
      <c r="H49" s="443">
        <f t="shared" si="11"/>
        <v>1036850.34</v>
      </c>
      <c r="J49" s="672"/>
      <c r="K49" s="672"/>
      <c r="L49" s="672"/>
      <c r="M49" s="672"/>
      <c r="N49" s="672"/>
    </row>
    <row r="50" spans="1:15" hidden="1" outlineLevel="1" x14ac:dyDescent="0.25">
      <c r="A50" s="497" t="s">
        <v>434</v>
      </c>
      <c r="B50" s="455" t="s">
        <v>248</v>
      </c>
      <c r="C50" s="496">
        <v>5103.38</v>
      </c>
      <c r="D50" s="495">
        <v>11.81</v>
      </c>
      <c r="E50" s="492">
        <f t="shared" si="10"/>
        <v>5115.1900000000005</v>
      </c>
      <c r="F50" s="494">
        <v>3784207.13</v>
      </c>
      <c r="G50" s="493">
        <v>11094.68</v>
      </c>
      <c r="H50" s="443">
        <f t="shared" si="11"/>
        <v>3795301.81</v>
      </c>
      <c r="J50" s="672"/>
      <c r="K50" s="672"/>
      <c r="L50" s="672"/>
      <c r="M50" s="672"/>
      <c r="N50" s="672"/>
    </row>
    <row r="51" spans="1:15" hidden="1" outlineLevel="1" x14ac:dyDescent="0.25">
      <c r="A51" s="497" t="s">
        <v>434</v>
      </c>
      <c r="B51" s="455" t="s">
        <v>252</v>
      </c>
      <c r="C51" s="496">
        <v>0.99</v>
      </c>
      <c r="D51" s="495">
        <v>0</v>
      </c>
      <c r="E51" s="492">
        <f t="shared" si="10"/>
        <v>0.99</v>
      </c>
      <c r="F51" s="494">
        <v>400.06</v>
      </c>
      <c r="G51" s="493">
        <v>0</v>
      </c>
      <c r="H51" s="443">
        <f t="shared" si="11"/>
        <v>400.06</v>
      </c>
      <c r="J51" s="672"/>
      <c r="K51" s="672"/>
      <c r="L51" s="672"/>
      <c r="M51" s="672"/>
      <c r="N51" s="672"/>
    </row>
    <row r="52" spans="1:15" hidden="1" outlineLevel="1" x14ac:dyDescent="0.25">
      <c r="A52" s="497" t="s">
        <v>434</v>
      </c>
      <c r="B52" s="455" t="s">
        <v>224</v>
      </c>
      <c r="C52" s="496">
        <f>SUM(3958.11+14906.26)</f>
        <v>18864.37</v>
      </c>
      <c r="D52" s="495">
        <f>SUM(0+2.96)</f>
        <v>2.96</v>
      </c>
      <c r="E52" s="492">
        <f t="shared" si="10"/>
        <v>18867.329999999998</v>
      </c>
      <c r="F52" s="494">
        <f>SUM(2339224.98+5762041.54)</f>
        <v>8101266.5199999996</v>
      </c>
      <c r="G52" s="493">
        <f>SUM(0+474.81)</f>
        <v>474.81</v>
      </c>
      <c r="H52" s="443">
        <f t="shared" si="11"/>
        <v>8101741.3299999991</v>
      </c>
      <c r="J52" s="672"/>
      <c r="K52" s="672"/>
      <c r="L52" s="672"/>
      <c r="M52" s="672"/>
      <c r="N52" s="672"/>
    </row>
    <row r="53" spans="1:15" hidden="1" outlineLevel="1" x14ac:dyDescent="0.25">
      <c r="A53" s="497" t="s">
        <v>434</v>
      </c>
      <c r="B53" s="455" t="s">
        <v>259</v>
      </c>
      <c r="C53" s="496">
        <f>SUM(13274.93)</f>
        <v>13274.93</v>
      </c>
      <c r="D53" s="495">
        <f>SUM(0)</f>
        <v>0</v>
      </c>
      <c r="E53" s="492">
        <f t="shared" si="10"/>
        <v>13274.93</v>
      </c>
      <c r="F53" s="494">
        <f>SUM(8046977.21)</f>
        <v>8046977.21</v>
      </c>
      <c r="G53" s="493">
        <f>SUM(0)</f>
        <v>0</v>
      </c>
      <c r="H53" s="443">
        <f t="shared" si="11"/>
        <v>8046977.21</v>
      </c>
      <c r="J53" s="672"/>
      <c r="K53" s="672"/>
      <c r="L53" s="672"/>
      <c r="M53" s="672"/>
      <c r="N53" s="672"/>
    </row>
    <row r="54" spans="1:15" s="481" customFormat="1" ht="15" collapsed="1" thickTop="1" thickBot="1" x14ac:dyDescent="0.3">
      <c r="A54" s="628">
        <v>1996</v>
      </c>
      <c r="B54" s="627" t="s">
        <v>403</v>
      </c>
      <c r="C54" s="633">
        <f>SUM(C38:C53)</f>
        <v>90813.69</v>
      </c>
      <c r="D54" s="648">
        <f>SUM(D38:D53)</f>
        <v>19224.810000000001</v>
      </c>
      <c r="E54" s="649">
        <f t="shared" si="10"/>
        <v>110038.5</v>
      </c>
      <c r="F54" s="634">
        <f>SUM(F38:F53)</f>
        <v>46860690.659999996</v>
      </c>
      <c r="G54" s="641">
        <f>SUM(G38:G53)</f>
        <v>15528801.640000001</v>
      </c>
      <c r="H54" s="652">
        <f t="shared" ref="H54" si="12">+G54+F54</f>
        <v>62389492.299999997</v>
      </c>
      <c r="I54" s="672">
        <f>+'TAB1.0 Accomplshmnt by District'!E41-C54</f>
        <v>-1.0000000009313226E-2</v>
      </c>
      <c r="J54" s="672">
        <f>+'TAB1.0 Accomplshmnt by District'!G41-D54</f>
        <v>0</v>
      </c>
      <c r="K54" s="672">
        <f>+'TAB1.0 Accomplshmnt by District'!I41-E54</f>
        <v>-9.9999999947613105E-3</v>
      </c>
      <c r="L54" s="672">
        <f>+'TAB1.0 Accomplshmnt by District'!J41-F54</f>
        <v>0</v>
      </c>
      <c r="M54" s="672">
        <f>+'TAB1.0 Accomplshmnt by District'!L41-G54</f>
        <v>0</v>
      </c>
      <c r="N54" s="672">
        <f>+'TAB1.0 Accomplshmnt by District'!N41-H54</f>
        <v>0</v>
      </c>
      <c r="O54" s="482"/>
    </row>
    <row r="55" spans="1:15" ht="14.4" hidden="1" outlineLevel="1" thickTop="1" x14ac:dyDescent="0.25">
      <c r="A55" s="497" t="s">
        <v>435</v>
      </c>
      <c r="B55" s="455" t="s">
        <v>214</v>
      </c>
      <c r="C55" s="496">
        <v>5364.37</v>
      </c>
      <c r="D55" s="495">
        <v>0</v>
      </c>
      <c r="E55" s="492">
        <f t="shared" ref="E55:E71" si="13">SUM(C55:D55)</f>
        <v>5364.37</v>
      </c>
      <c r="F55" s="494">
        <v>3922935.18</v>
      </c>
      <c r="G55" s="493">
        <v>0</v>
      </c>
      <c r="H55" s="443">
        <f t="shared" ref="H55:H70" si="14">SUM(F55:G55)</f>
        <v>3922935.18</v>
      </c>
      <c r="J55" s="672"/>
      <c r="K55" s="672"/>
      <c r="L55" s="672"/>
      <c r="M55" s="672"/>
      <c r="N55" s="672"/>
    </row>
    <row r="56" spans="1:15" hidden="1" outlineLevel="1" x14ac:dyDescent="0.25">
      <c r="A56" s="497" t="s">
        <v>435</v>
      </c>
      <c r="B56" s="455" t="s">
        <v>216</v>
      </c>
      <c r="C56" s="496">
        <v>0</v>
      </c>
      <c r="D56" s="495">
        <v>0</v>
      </c>
      <c r="E56" s="492">
        <f t="shared" si="13"/>
        <v>0</v>
      </c>
      <c r="F56" s="494">
        <v>0</v>
      </c>
      <c r="G56" s="493">
        <v>0</v>
      </c>
      <c r="H56" s="443">
        <f t="shared" si="14"/>
        <v>0</v>
      </c>
      <c r="J56" s="672"/>
      <c r="K56" s="672"/>
      <c r="L56" s="672"/>
      <c r="M56" s="672"/>
      <c r="N56" s="672"/>
    </row>
    <row r="57" spans="1:15" hidden="1" outlineLevel="1" x14ac:dyDescent="0.25">
      <c r="A57" s="497" t="s">
        <v>435</v>
      </c>
      <c r="B57" s="455" t="s">
        <v>219</v>
      </c>
      <c r="C57" s="496">
        <f>SUM(51493.44+2427+52.81)</f>
        <v>53973.25</v>
      </c>
      <c r="D57" s="495">
        <f>SUM(2176.91+0+0)</f>
        <v>2176.91</v>
      </c>
      <c r="E57" s="492">
        <f t="shared" si="13"/>
        <v>56150.16</v>
      </c>
      <c r="F57" s="494">
        <f>SUM(24133225.81+1010285.73+22245.85)</f>
        <v>25165757.390000001</v>
      </c>
      <c r="G57" s="493">
        <f>SUM(1006821.68+0+0)</f>
        <v>1006821.68</v>
      </c>
      <c r="H57" s="443">
        <f t="shared" si="14"/>
        <v>26172579.07</v>
      </c>
      <c r="J57" s="672"/>
      <c r="K57" s="672"/>
      <c r="L57" s="672"/>
      <c r="M57" s="672"/>
      <c r="N57" s="672"/>
    </row>
    <row r="58" spans="1:15" hidden="1" outlineLevel="1" x14ac:dyDescent="0.25">
      <c r="A58" s="497" t="s">
        <v>435</v>
      </c>
      <c r="B58" s="455" t="s">
        <v>222</v>
      </c>
      <c r="C58" s="496">
        <v>5392.78</v>
      </c>
      <c r="D58" s="495">
        <v>0</v>
      </c>
      <c r="E58" s="492">
        <f t="shared" si="13"/>
        <v>5392.78</v>
      </c>
      <c r="F58" s="494">
        <v>3699261.17</v>
      </c>
      <c r="G58" s="493">
        <v>0</v>
      </c>
      <c r="H58" s="443">
        <f t="shared" si="14"/>
        <v>3699261.17</v>
      </c>
      <c r="J58" s="672"/>
      <c r="K58" s="672"/>
      <c r="L58" s="672"/>
      <c r="M58" s="672"/>
      <c r="N58" s="672"/>
    </row>
    <row r="59" spans="1:15" hidden="1" outlineLevel="1" x14ac:dyDescent="0.25">
      <c r="A59" s="497" t="s">
        <v>435</v>
      </c>
      <c r="B59" s="455" t="s">
        <v>223</v>
      </c>
      <c r="C59" s="496">
        <v>16.14</v>
      </c>
      <c r="D59" s="495">
        <v>15011.2</v>
      </c>
      <c r="E59" s="492">
        <f t="shared" si="13"/>
        <v>15027.34</v>
      </c>
      <c r="F59" s="494">
        <v>7098.33</v>
      </c>
      <c r="G59" s="493">
        <v>10325493.220000001</v>
      </c>
      <c r="H59" s="443">
        <f t="shared" si="14"/>
        <v>10332591.550000001</v>
      </c>
      <c r="J59" s="672"/>
      <c r="K59" s="672"/>
      <c r="L59" s="672"/>
      <c r="M59" s="672"/>
      <c r="N59" s="672"/>
    </row>
    <row r="60" spans="1:15" hidden="1" outlineLevel="1" x14ac:dyDescent="0.25">
      <c r="A60" s="497" t="s">
        <v>435</v>
      </c>
      <c r="B60" s="455" t="s">
        <v>231</v>
      </c>
      <c r="C60" s="496">
        <f>SUM(1.92+77.33)</f>
        <v>79.25</v>
      </c>
      <c r="D60" s="495">
        <f>SUM(5956.74+0)</f>
        <v>5956.74</v>
      </c>
      <c r="E60" s="492">
        <f t="shared" si="13"/>
        <v>6035.99</v>
      </c>
      <c r="F60" s="494">
        <f>SUM(755.35+39079.01)</f>
        <v>39834.36</v>
      </c>
      <c r="G60" s="493">
        <f>SUM(4232547.46+0)</f>
        <v>4232547.46</v>
      </c>
      <c r="H60" s="443">
        <f t="shared" si="14"/>
        <v>4272381.82</v>
      </c>
      <c r="J60" s="672"/>
      <c r="K60" s="672"/>
      <c r="L60" s="672"/>
      <c r="M60" s="672"/>
      <c r="N60" s="672"/>
    </row>
    <row r="61" spans="1:15" hidden="1" outlineLevel="1" x14ac:dyDescent="0.25">
      <c r="A61" s="497" t="s">
        <v>435</v>
      </c>
      <c r="B61" s="455" t="s">
        <v>239</v>
      </c>
      <c r="C61" s="496">
        <v>0</v>
      </c>
      <c r="D61" s="495">
        <v>0</v>
      </c>
      <c r="E61" s="492">
        <f t="shared" si="13"/>
        <v>0</v>
      </c>
      <c r="F61" s="494">
        <v>0</v>
      </c>
      <c r="G61" s="493">
        <v>0</v>
      </c>
      <c r="H61" s="443">
        <f t="shared" si="14"/>
        <v>0</v>
      </c>
      <c r="J61" s="672"/>
      <c r="K61" s="672"/>
      <c r="L61" s="672"/>
      <c r="M61" s="672"/>
      <c r="N61" s="672"/>
    </row>
    <row r="62" spans="1:15" hidden="1" outlineLevel="1" x14ac:dyDescent="0.25">
      <c r="A62" s="497" t="s">
        <v>435</v>
      </c>
      <c r="B62" s="455" t="s">
        <v>241</v>
      </c>
      <c r="C62" s="496">
        <v>41.68</v>
      </c>
      <c r="D62" s="495">
        <v>0</v>
      </c>
      <c r="E62" s="492">
        <f t="shared" si="13"/>
        <v>41.68</v>
      </c>
      <c r="F62" s="494">
        <v>7505.07</v>
      </c>
      <c r="G62" s="493">
        <v>0</v>
      </c>
      <c r="H62" s="443">
        <f t="shared" si="14"/>
        <v>7505.07</v>
      </c>
      <c r="J62" s="672"/>
      <c r="K62" s="672"/>
      <c r="L62" s="672"/>
      <c r="M62" s="672"/>
      <c r="N62" s="672"/>
    </row>
    <row r="63" spans="1:15" hidden="1" outlineLevel="1" x14ac:dyDescent="0.25">
      <c r="A63" s="497" t="s">
        <v>435</v>
      </c>
      <c r="B63" s="455" t="s">
        <v>242</v>
      </c>
      <c r="C63" s="496">
        <v>214.45</v>
      </c>
      <c r="D63" s="495">
        <v>701.5</v>
      </c>
      <c r="E63" s="492">
        <f t="shared" si="13"/>
        <v>915.95</v>
      </c>
      <c r="F63" s="494">
        <v>91394.4</v>
      </c>
      <c r="G63" s="493">
        <v>181579.2</v>
      </c>
      <c r="H63" s="443">
        <f t="shared" si="14"/>
        <v>272973.59999999998</v>
      </c>
      <c r="J63" s="672"/>
      <c r="K63" s="672"/>
      <c r="L63" s="672"/>
      <c r="M63" s="672"/>
      <c r="N63" s="672"/>
    </row>
    <row r="64" spans="1:15" hidden="1" outlineLevel="1" x14ac:dyDescent="0.25">
      <c r="A64" s="497" t="s">
        <v>435</v>
      </c>
      <c r="B64" s="455" t="s">
        <v>244</v>
      </c>
      <c r="C64" s="496">
        <v>854</v>
      </c>
      <c r="D64" s="495">
        <v>0</v>
      </c>
      <c r="E64" s="492">
        <f t="shared" si="13"/>
        <v>854</v>
      </c>
      <c r="F64" s="494">
        <v>464260.33</v>
      </c>
      <c r="G64" s="493">
        <v>0</v>
      </c>
      <c r="H64" s="443">
        <f t="shared" si="14"/>
        <v>464260.33</v>
      </c>
      <c r="J64" s="672"/>
      <c r="K64" s="672"/>
      <c r="L64" s="672"/>
      <c r="M64" s="672"/>
      <c r="N64" s="672"/>
    </row>
    <row r="65" spans="1:15" hidden="1" outlineLevel="1" x14ac:dyDescent="0.25">
      <c r="A65" s="497" t="s">
        <v>435</v>
      </c>
      <c r="B65" s="455" t="s">
        <v>245</v>
      </c>
      <c r="C65" s="496">
        <v>6363.42</v>
      </c>
      <c r="D65" s="495">
        <v>709.62</v>
      </c>
      <c r="E65" s="492">
        <f t="shared" si="13"/>
        <v>7073.04</v>
      </c>
      <c r="F65" s="494">
        <v>3329682.9</v>
      </c>
      <c r="G65" s="493">
        <v>368556.11</v>
      </c>
      <c r="H65" s="443">
        <f t="shared" si="14"/>
        <v>3698239.01</v>
      </c>
      <c r="J65" s="672"/>
      <c r="K65" s="672"/>
      <c r="L65" s="672"/>
      <c r="M65" s="672"/>
      <c r="N65" s="672"/>
    </row>
    <row r="66" spans="1:15" hidden="1" outlineLevel="1" x14ac:dyDescent="0.25">
      <c r="A66" s="497" t="s">
        <v>435</v>
      </c>
      <c r="B66" s="455" t="s">
        <v>246</v>
      </c>
      <c r="C66" s="496">
        <v>4084.02</v>
      </c>
      <c r="D66" s="495">
        <v>0</v>
      </c>
      <c r="E66" s="492">
        <f t="shared" si="13"/>
        <v>4084.02</v>
      </c>
      <c r="F66" s="494">
        <v>1796137.02</v>
      </c>
      <c r="G66" s="493">
        <v>0</v>
      </c>
      <c r="H66" s="443">
        <f t="shared" si="14"/>
        <v>1796137.02</v>
      </c>
      <c r="J66" s="672"/>
      <c r="K66" s="672"/>
      <c r="L66" s="672"/>
      <c r="M66" s="672"/>
      <c r="N66" s="672"/>
    </row>
    <row r="67" spans="1:15" hidden="1" outlineLevel="1" x14ac:dyDescent="0.25">
      <c r="A67" s="497" t="s">
        <v>435</v>
      </c>
      <c r="B67" s="455" t="s">
        <v>248</v>
      </c>
      <c r="C67" s="496">
        <v>2108.77</v>
      </c>
      <c r="D67" s="495">
        <v>0</v>
      </c>
      <c r="E67" s="492">
        <f t="shared" si="13"/>
        <v>2108.77</v>
      </c>
      <c r="F67" s="494">
        <v>1041572</v>
      </c>
      <c r="G67" s="493">
        <v>0</v>
      </c>
      <c r="H67" s="443">
        <f t="shared" si="14"/>
        <v>1041572</v>
      </c>
      <c r="J67" s="672"/>
      <c r="K67" s="672"/>
      <c r="L67" s="672"/>
      <c r="M67" s="672"/>
      <c r="N67" s="672"/>
    </row>
    <row r="68" spans="1:15" hidden="1" outlineLevel="1" x14ac:dyDescent="0.25">
      <c r="A68" s="497" t="s">
        <v>435</v>
      </c>
      <c r="B68" s="455" t="s">
        <v>252</v>
      </c>
      <c r="C68" s="496">
        <v>4178.4799999999996</v>
      </c>
      <c r="D68" s="495">
        <v>0</v>
      </c>
      <c r="E68" s="492">
        <f t="shared" si="13"/>
        <v>4178.4799999999996</v>
      </c>
      <c r="F68" s="494">
        <v>2653777.7400000002</v>
      </c>
      <c r="G68" s="493">
        <v>0</v>
      </c>
      <c r="H68" s="443">
        <f t="shared" si="14"/>
        <v>2653777.7400000002</v>
      </c>
      <c r="J68" s="672"/>
      <c r="K68" s="672"/>
      <c r="L68" s="672"/>
      <c r="M68" s="672"/>
      <c r="N68" s="672"/>
    </row>
    <row r="69" spans="1:15" hidden="1" outlineLevel="1" x14ac:dyDescent="0.25">
      <c r="A69" s="497" t="s">
        <v>435</v>
      </c>
      <c r="B69" s="455" t="s">
        <v>224</v>
      </c>
      <c r="C69" s="496">
        <f>SUM(3.9+17575.27+23411.64)</f>
        <v>40990.81</v>
      </c>
      <c r="D69" s="495">
        <f>SUM(0+0+420.25)</f>
        <v>420.25</v>
      </c>
      <c r="E69" s="492">
        <f t="shared" si="13"/>
        <v>41411.06</v>
      </c>
      <c r="F69" s="494">
        <f>SUM(1121.49+8587193.56+7389066.66)</f>
        <v>15977381.710000001</v>
      </c>
      <c r="G69" s="493">
        <f>SUM(0+0+71166.53)</f>
        <v>71166.53</v>
      </c>
      <c r="H69" s="443">
        <f t="shared" si="14"/>
        <v>16048548.24</v>
      </c>
      <c r="J69" s="672"/>
      <c r="K69" s="672"/>
      <c r="L69" s="672"/>
      <c r="M69" s="672"/>
      <c r="N69" s="672"/>
    </row>
    <row r="70" spans="1:15" hidden="1" outlineLevel="1" x14ac:dyDescent="0.25">
      <c r="A70" s="497" t="s">
        <v>435</v>
      </c>
      <c r="B70" s="455" t="s">
        <v>259</v>
      </c>
      <c r="C70" s="496">
        <f>SUM(14148.14+5.8)</f>
        <v>14153.939999999999</v>
      </c>
      <c r="D70" s="495">
        <f>SUM(0+0)</f>
        <v>0</v>
      </c>
      <c r="E70" s="492">
        <f t="shared" si="13"/>
        <v>14153.939999999999</v>
      </c>
      <c r="F70" s="494">
        <f>SUM(7924354.15+490.86)</f>
        <v>7924845.0100000007</v>
      </c>
      <c r="G70" s="493">
        <f>SUM(0+0)</f>
        <v>0</v>
      </c>
      <c r="H70" s="443">
        <f t="shared" si="14"/>
        <v>7924845.0100000007</v>
      </c>
      <c r="J70" s="672"/>
      <c r="K70" s="672"/>
      <c r="L70" s="672"/>
      <c r="M70" s="672"/>
      <c r="N70" s="672"/>
    </row>
    <row r="71" spans="1:15" s="481" customFormat="1" ht="15" collapsed="1" thickTop="1" thickBot="1" x14ac:dyDescent="0.3">
      <c r="A71" s="628">
        <v>1997</v>
      </c>
      <c r="B71" s="627" t="s">
        <v>403</v>
      </c>
      <c r="C71" s="633">
        <f>SUM(C55:C70)</f>
        <v>137815.35999999999</v>
      </c>
      <c r="D71" s="648">
        <f>SUM(D55:D70)</f>
        <v>24976.219999999998</v>
      </c>
      <c r="E71" s="649">
        <f t="shared" si="13"/>
        <v>162791.57999999999</v>
      </c>
      <c r="F71" s="634">
        <f>SUM(F55:F70)</f>
        <v>66121442.609999999</v>
      </c>
      <c r="G71" s="641">
        <f>SUM(G55:G70)</f>
        <v>16186164.199999997</v>
      </c>
      <c r="H71" s="652">
        <f t="shared" ref="H71" si="15">+G71+F71</f>
        <v>82307606.810000002</v>
      </c>
      <c r="I71" s="672">
        <f>+'TAB1.0 Accomplshmnt by District'!E51-C71</f>
        <v>0</v>
      </c>
      <c r="J71" s="672">
        <f>+'TAB1.0 Accomplshmnt by District'!G51-D71</f>
        <v>0</v>
      </c>
      <c r="K71" s="672">
        <f>+'TAB1.0 Accomplshmnt by District'!I51-E71</f>
        <v>0</v>
      </c>
      <c r="L71" s="672">
        <f>+'TAB1.0 Accomplshmnt by District'!J51-F71</f>
        <v>0</v>
      </c>
      <c r="M71" s="672">
        <f>+'TAB1.0 Accomplshmnt by District'!L51-G71</f>
        <v>0</v>
      </c>
      <c r="N71" s="672">
        <f>+'TAB1.0 Accomplshmnt by District'!N51-H71</f>
        <v>0</v>
      </c>
      <c r="O71" s="482"/>
    </row>
    <row r="72" spans="1:15" ht="14.4" hidden="1" outlineLevel="1" thickTop="1" x14ac:dyDescent="0.25">
      <c r="A72" s="497" t="s">
        <v>436</v>
      </c>
      <c r="B72" s="455" t="s">
        <v>214</v>
      </c>
      <c r="C72" s="496">
        <v>1602.52</v>
      </c>
      <c r="D72" s="495">
        <v>0</v>
      </c>
      <c r="E72" s="492">
        <f t="shared" ref="E72:E88" si="16">SUM(C72:D72)</f>
        <v>1602.52</v>
      </c>
      <c r="F72" s="494">
        <v>988012.9</v>
      </c>
      <c r="G72" s="493">
        <v>0</v>
      </c>
      <c r="H72" s="443">
        <f t="shared" ref="H72:H87" si="17">SUM(F72:G72)</f>
        <v>988012.9</v>
      </c>
      <c r="J72" s="672"/>
      <c r="K72" s="672"/>
      <c r="L72" s="672"/>
      <c r="M72" s="672"/>
      <c r="N72" s="672"/>
    </row>
    <row r="73" spans="1:15" hidden="1" outlineLevel="1" x14ac:dyDescent="0.25">
      <c r="A73" s="497" t="s">
        <v>436</v>
      </c>
      <c r="B73" s="455" t="s">
        <v>216</v>
      </c>
      <c r="C73" s="496">
        <v>420.72</v>
      </c>
      <c r="D73" s="495">
        <v>0</v>
      </c>
      <c r="E73" s="492">
        <f>SUM(C73:D73)</f>
        <v>420.72</v>
      </c>
      <c r="F73" s="494">
        <v>154324.45000000001</v>
      </c>
      <c r="G73" s="493">
        <v>0</v>
      </c>
      <c r="H73" s="443">
        <f t="shared" si="17"/>
        <v>154324.45000000001</v>
      </c>
      <c r="J73" s="672"/>
      <c r="K73" s="672"/>
      <c r="L73" s="672"/>
      <c r="M73" s="672"/>
      <c r="N73" s="672"/>
    </row>
    <row r="74" spans="1:15" hidden="1" outlineLevel="1" x14ac:dyDescent="0.25">
      <c r="A74" s="497" t="s">
        <v>436</v>
      </c>
      <c r="B74" s="455" t="s">
        <v>219</v>
      </c>
      <c r="C74" s="496">
        <f>SUM(26466.26+2532.88+370.87)</f>
        <v>29370.01</v>
      </c>
      <c r="D74" s="495">
        <f>SUM(329.31+0+0)</f>
        <v>329.31</v>
      </c>
      <c r="E74" s="492">
        <f t="shared" si="16"/>
        <v>29699.32</v>
      </c>
      <c r="F74" s="494">
        <f>SUM(11495481.37+1506234.97+151228.99)</f>
        <v>13152945.33</v>
      </c>
      <c r="G74" s="493">
        <f>SUM(210069.5+0+0)</f>
        <v>210069.5</v>
      </c>
      <c r="H74" s="443">
        <f t="shared" si="17"/>
        <v>13363014.83</v>
      </c>
      <c r="J74" s="672"/>
      <c r="K74" s="672"/>
      <c r="L74" s="672"/>
      <c r="M74" s="672"/>
      <c r="N74" s="672"/>
    </row>
    <row r="75" spans="1:15" hidden="1" outlineLevel="1" x14ac:dyDescent="0.25">
      <c r="A75" s="497" t="s">
        <v>436</v>
      </c>
      <c r="B75" s="455" t="s">
        <v>222</v>
      </c>
      <c r="C75" s="496">
        <v>0</v>
      </c>
      <c r="D75" s="495">
        <v>0</v>
      </c>
      <c r="E75" s="492">
        <f t="shared" si="16"/>
        <v>0</v>
      </c>
      <c r="F75" s="494">
        <v>0</v>
      </c>
      <c r="G75" s="493">
        <v>0</v>
      </c>
      <c r="H75" s="443">
        <f t="shared" si="17"/>
        <v>0</v>
      </c>
      <c r="J75" s="672"/>
      <c r="K75" s="672"/>
      <c r="L75" s="672"/>
      <c r="M75" s="672"/>
      <c r="N75" s="672"/>
    </row>
    <row r="76" spans="1:15" hidden="1" outlineLevel="1" x14ac:dyDescent="0.25">
      <c r="A76" s="497" t="s">
        <v>436</v>
      </c>
      <c r="B76" s="455" t="s">
        <v>223</v>
      </c>
      <c r="C76" s="496">
        <v>2.4500000000000002</v>
      </c>
      <c r="D76" s="495">
        <v>19685.150000000001</v>
      </c>
      <c r="E76" s="492">
        <f t="shared" si="16"/>
        <v>19687.600000000002</v>
      </c>
      <c r="F76" s="494">
        <v>970.75</v>
      </c>
      <c r="G76" s="493">
        <v>12453669.33</v>
      </c>
      <c r="H76" s="443">
        <f t="shared" si="17"/>
        <v>12454640.08</v>
      </c>
      <c r="J76" s="672"/>
      <c r="K76" s="672"/>
      <c r="L76" s="672"/>
      <c r="M76" s="672"/>
      <c r="N76" s="672"/>
    </row>
    <row r="77" spans="1:15" hidden="1" outlineLevel="1" x14ac:dyDescent="0.25">
      <c r="A77" s="497" t="s">
        <v>436</v>
      </c>
      <c r="B77" s="455" t="s">
        <v>231</v>
      </c>
      <c r="C77" s="496">
        <f>SUM(0.73+982.54)</f>
        <v>983.27</v>
      </c>
      <c r="D77" s="495">
        <f>SUM(1514.91+0)</f>
        <v>1514.91</v>
      </c>
      <c r="E77" s="492">
        <f t="shared" si="16"/>
        <v>2498.1800000000003</v>
      </c>
      <c r="F77" s="494">
        <f>SUM(288.82+222707.81)</f>
        <v>222996.63</v>
      </c>
      <c r="G77" s="493">
        <f>SUM(690632.89+0)</f>
        <v>690632.89</v>
      </c>
      <c r="H77" s="443">
        <f t="shared" si="17"/>
        <v>913629.52</v>
      </c>
      <c r="J77" s="672"/>
      <c r="K77" s="672"/>
      <c r="L77" s="672"/>
      <c r="M77" s="672"/>
      <c r="N77" s="672"/>
    </row>
    <row r="78" spans="1:15" hidden="1" outlineLevel="1" x14ac:dyDescent="0.25">
      <c r="A78" s="497" t="s">
        <v>436</v>
      </c>
      <c r="B78" s="455" t="s">
        <v>239</v>
      </c>
      <c r="C78" s="496">
        <v>0</v>
      </c>
      <c r="D78" s="495">
        <v>0</v>
      </c>
      <c r="E78" s="492">
        <f t="shared" si="16"/>
        <v>0</v>
      </c>
      <c r="F78" s="494">
        <v>0</v>
      </c>
      <c r="G78" s="493">
        <v>0</v>
      </c>
      <c r="H78" s="443">
        <f t="shared" si="17"/>
        <v>0</v>
      </c>
      <c r="J78" s="672"/>
      <c r="K78" s="672"/>
      <c r="L78" s="672"/>
      <c r="M78" s="672"/>
      <c r="N78" s="672"/>
    </row>
    <row r="79" spans="1:15" hidden="1" outlineLevel="1" x14ac:dyDescent="0.25">
      <c r="A79" s="497" t="s">
        <v>436</v>
      </c>
      <c r="B79" s="455" t="s">
        <v>241</v>
      </c>
      <c r="C79" s="496">
        <v>146.09</v>
      </c>
      <c r="D79" s="495">
        <v>0</v>
      </c>
      <c r="E79" s="492">
        <f t="shared" si="16"/>
        <v>146.09</v>
      </c>
      <c r="F79" s="494">
        <v>42418.52</v>
      </c>
      <c r="G79" s="493">
        <v>0</v>
      </c>
      <c r="H79" s="443">
        <f t="shared" si="17"/>
        <v>42418.52</v>
      </c>
      <c r="J79" s="672"/>
      <c r="K79" s="672"/>
      <c r="L79" s="672"/>
      <c r="M79" s="672"/>
      <c r="N79" s="672"/>
    </row>
    <row r="80" spans="1:15" hidden="1" outlineLevel="1" x14ac:dyDescent="0.25">
      <c r="A80" s="497" t="s">
        <v>436</v>
      </c>
      <c r="B80" s="455" t="s">
        <v>242</v>
      </c>
      <c r="C80" s="496">
        <v>1721.96</v>
      </c>
      <c r="D80" s="495">
        <v>0</v>
      </c>
      <c r="E80" s="492">
        <f t="shared" si="16"/>
        <v>1721.96</v>
      </c>
      <c r="F80" s="494">
        <v>429195.68</v>
      </c>
      <c r="G80" s="493">
        <v>0</v>
      </c>
      <c r="H80" s="443">
        <f t="shared" si="17"/>
        <v>429195.68</v>
      </c>
      <c r="J80" s="672"/>
      <c r="K80" s="672"/>
      <c r="L80" s="672"/>
      <c r="M80" s="672"/>
      <c r="N80" s="672"/>
    </row>
    <row r="81" spans="1:15" hidden="1" outlineLevel="1" x14ac:dyDescent="0.25">
      <c r="A81" s="497" t="s">
        <v>436</v>
      </c>
      <c r="B81" s="455" t="s">
        <v>244</v>
      </c>
      <c r="C81" s="496">
        <v>2162.12</v>
      </c>
      <c r="D81" s="495">
        <v>0</v>
      </c>
      <c r="E81" s="492">
        <f>SUM(C81:D81)</f>
        <v>2162.12</v>
      </c>
      <c r="F81" s="494">
        <v>1121912.77</v>
      </c>
      <c r="G81" s="493">
        <v>0</v>
      </c>
      <c r="H81" s="443">
        <f t="shared" si="17"/>
        <v>1121912.77</v>
      </c>
      <c r="J81" s="672"/>
      <c r="K81" s="672"/>
      <c r="L81" s="672"/>
      <c r="M81" s="672"/>
      <c r="N81" s="672"/>
    </row>
    <row r="82" spans="1:15" hidden="1" outlineLevel="1" x14ac:dyDescent="0.25">
      <c r="A82" s="497" t="s">
        <v>436</v>
      </c>
      <c r="B82" s="455" t="s">
        <v>245</v>
      </c>
      <c r="C82" s="496">
        <v>11163.03</v>
      </c>
      <c r="D82" s="495">
        <v>484.27</v>
      </c>
      <c r="E82" s="492">
        <f t="shared" si="16"/>
        <v>11647.300000000001</v>
      </c>
      <c r="F82" s="494">
        <v>5333310.96</v>
      </c>
      <c r="G82" s="493">
        <v>294909.95</v>
      </c>
      <c r="H82" s="443">
        <f t="shared" si="17"/>
        <v>5628220.9100000001</v>
      </c>
      <c r="J82" s="672"/>
      <c r="K82" s="672"/>
      <c r="L82" s="672"/>
      <c r="M82" s="672"/>
      <c r="N82" s="672"/>
    </row>
    <row r="83" spans="1:15" hidden="1" outlineLevel="1" x14ac:dyDescent="0.25">
      <c r="A83" s="497" t="s">
        <v>436</v>
      </c>
      <c r="B83" s="455" t="s">
        <v>246</v>
      </c>
      <c r="C83" s="496">
        <v>9496.92</v>
      </c>
      <c r="D83" s="495">
        <v>0</v>
      </c>
      <c r="E83" s="492">
        <f t="shared" si="16"/>
        <v>9496.92</v>
      </c>
      <c r="F83" s="494">
        <v>4910337.87</v>
      </c>
      <c r="G83" s="493">
        <v>0</v>
      </c>
      <c r="H83" s="443">
        <f t="shared" si="17"/>
        <v>4910337.87</v>
      </c>
      <c r="J83" s="672"/>
      <c r="K83" s="672"/>
      <c r="L83" s="672"/>
      <c r="M83" s="672"/>
      <c r="N83" s="672"/>
    </row>
    <row r="84" spans="1:15" hidden="1" outlineLevel="1" x14ac:dyDescent="0.25">
      <c r="A84" s="497" t="s">
        <v>436</v>
      </c>
      <c r="B84" s="455" t="s">
        <v>248</v>
      </c>
      <c r="C84" s="496">
        <v>5603.32</v>
      </c>
      <c r="D84" s="495">
        <v>0</v>
      </c>
      <c r="E84" s="492">
        <f t="shared" si="16"/>
        <v>5603.32</v>
      </c>
      <c r="F84" s="494">
        <v>3659567.87</v>
      </c>
      <c r="G84" s="493">
        <v>0</v>
      </c>
      <c r="H84" s="443">
        <f t="shared" si="17"/>
        <v>3659567.87</v>
      </c>
      <c r="J84" s="672"/>
      <c r="K84" s="672"/>
      <c r="L84" s="672"/>
      <c r="M84" s="672"/>
      <c r="N84" s="672"/>
    </row>
    <row r="85" spans="1:15" hidden="1" outlineLevel="1" x14ac:dyDescent="0.25">
      <c r="A85" s="497" t="s">
        <v>436</v>
      </c>
      <c r="B85" s="455" t="s">
        <v>252</v>
      </c>
      <c r="C85" s="496">
        <v>832.79</v>
      </c>
      <c r="D85" s="495">
        <v>0</v>
      </c>
      <c r="E85" s="492">
        <f t="shared" si="16"/>
        <v>832.79</v>
      </c>
      <c r="F85" s="494">
        <v>201767.39</v>
      </c>
      <c r="G85" s="493">
        <v>0</v>
      </c>
      <c r="H85" s="443">
        <f t="shared" si="17"/>
        <v>201767.39</v>
      </c>
      <c r="J85" s="672"/>
      <c r="K85" s="672"/>
      <c r="L85" s="672"/>
      <c r="M85" s="672"/>
      <c r="N85" s="672"/>
    </row>
    <row r="86" spans="1:15" hidden="1" outlineLevel="1" x14ac:dyDescent="0.25">
      <c r="A86" s="497" t="s">
        <v>436</v>
      </c>
      <c r="B86" s="455" t="s">
        <v>224</v>
      </c>
      <c r="C86" s="496">
        <f>SUM(1.15+9575.96+26465.93)</f>
        <v>36043.040000000001</v>
      </c>
      <c r="D86" s="495">
        <f>SUM(0+0+47.32)</f>
        <v>47.32</v>
      </c>
      <c r="E86" s="492">
        <f t="shared" si="16"/>
        <v>36090.36</v>
      </c>
      <c r="F86" s="494">
        <f>SUM(351.37+3942275.78+7867898.23)</f>
        <v>11810525.380000001</v>
      </c>
      <c r="G86" s="493">
        <f>SUM(0+0+10231.62)</f>
        <v>10231.620000000001</v>
      </c>
      <c r="H86" s="443">
        <f t="shared" si="17"/>
        <v>11820757</v>
      </c>
      <c r="J86" s="672"/>
      <c r="K86" s="672"/>
      <c r="L86" s="672"/>
      <c r="M86" s="672"/>
      <c r="N86" s="672"/>
    </row>
    <row r="87" spans="1:15" hidden="1" outlineLevel="1" x14ac:dyDescent="0.25">
      <c r="A87" s="497" t="s">
        <v>436</v>
      </c>
      <c r="B87" s="455" t="s">
        <v>259</v>
      </c>
      <c r="C87" s="496">
        <f>SUM(5678.93+180.89)</f>
        <v>5859.8200000000006</v>
      </c>
      <c r="D87" s="495">
        <f>SUM(0+0)</f>
        <v>0</v>
      </c>
      <c r="E87" s="492">
        <f t="shared" si="16"/>
        <v>5859.8200000000006</v>
      </c>
      <c r="F87" s="494">
        <f>SUM(3000870.62+8285.3)</f>
        <v>3009155.92</v>
      </c>
      <c r="G87" s="493">
        <f>SUM(0+0)</f>
        <v>0</v>
      </c>
      <c r="H87" s="443">
        <f t="shared" si="17"/>
        <v>3009155.92</v>
      </c>
      <c r="J87" s="672"/>
      <c r="K87" s="672"/>
      <c r="L87" s="672"/>
      <c r="M87" s="672"/>
      <c r="N87" s="672"/>
    </row>
    <row r="88" spans="1:15" s="481" customFormat="1" ht="15" collapsed="1" thickTop="1" thickBot="1" x14ac:dyDescent="0.3">
      <c r="A88" s="628">
        <v>1998</v>
      </c>
      <c r="B88" s="627" t="s">
        <v>403</v>
      </c>
      <c r="C88" s="633">
        <f>SUM(C72:C87)</f>
        <v>105408.06000000001</v>
      </c>
      <c r="D88" s="648">
        <f>SUM(D72:D87)</f>
        <v>22060.960000000003</v>
      </c>
      <c r="E88" s="649">
        <f t="shared" si="16"/>
        <v>127469.02000000002</v>
      </c>
      <c r="F88" s="634">
        <f>SUM(F72:F87)</f>
        <v>45037442.420000002</v>
      </c>
      <c r="G88" s="641">
        <f>SUM(G72:G87)</f>
        <v>13659513.289999999</v>
      </c>
      <c r="H88" s="652">
        <f t="shared" ref="H88" si="18">+G88+F88</f>
        <v>58696955.710000001</v>
      </c>
      <c r="I88" s="672">
        <f>+'TAB1.0 Accomplshmnt by District'!E61-C88</f>
        <v>5.6000000000058208</v>
      </c>
      <c r="J88" s="672">
        <f>+'TAB1.0 Accomplshmnt by District'!G61-D88</f>
        <v>-5.6000000000021828</v>
      </c>
      <c r="K88" s="672">
        <f>+'TAB1.0 Accomplshmnt by District'!I61-E88</f>
        <v>0</v>
      </c>
      <c r="L88" s="672">
        <f>+'TAB1.0 Accomplshmnt by District'!J61-F88</f>
        <v>1210.1899999976158</v>
      </c>
      <c r="M88" s="672">
        <f>+'TAB1.0 Accomplshmnt by District'!L61-G88</f>
        <v>-1210.1899999976158</v>
      </c>
      <c r="N88" s="672">
        <f>+'TAB1.0 Accomplshmnt by District'!N61-H88</f>
        <v>0</v>
      </c>
      <c r="O88" s="482"/>
    </row>
    <row r="89" spans="1:15" ht="14.4" hidden="1" outlineLevel="1" thickTop="1" x14ac:dyDescent="0.25">
      <c r="A89" s="497" t="s">
        <v>437</v>
      </c>
      <c r="B89" s="455" t="s">
        <v>214</v>
      </c>
      <c r="C89" s="496">
        <v>7684.65</v>
      </c>
      <c r="D89" s="495">
        <v>229.27</v>
      </c>
      <c r="E89" s="492">
        <f t="shared" ref="E89:E105" si="19">SUM(C89:D89)</f>
        <v>7913.92</v>
      </c>
      <c r="F89" s="494">
        <v>4226526.4400000004</v>
      </c>
      <c r="G89" s="493">
        <v>79055.17</v>
      </c>
      <c r="H89" s="443">
        <f t="shared" ref="H89:H104" si="20">SUM(F89:G89)</f>
        <v>4305581.6100000003</v>
      </c>
      <c r="J89" s="672"/>
      <c r="K89" s="672"/>
      <c r="L89" s="672"/>
      <c r="M89" s="672"/>
      <c r="N89" s="672"/>
    </row>
    <row r="90" spans="1:15" hidden="1" outlineLevel="1" x14ac:dyDescent="0.25">
      <c r="A90" s="497" t="s">
        <v>437</v>
      </c>
      <c r="B90" s="455" t="s">
        <v>216</v>
      </c>
      <c r="C90" s="496">
        <v>8370.4599999999991</v>
      </c>
      <c r="D90" s="495">
        <v>0</v>
      </c>
      <c r="E90" s="492">
        <f t="shared" si="19"/>
        <v>8370.4599999999991</v>
      </c>
      <c r="F90" s="494">
        <v>3540161.1</v>
      </c>
      <c r="G90" s="493">
        <v>0</v>
      </c>
      <c r="H90" s="443">
        <f t="shared" si="20"/>
        <v>3540161.1</v>
      </c>
      <c r="J90" s="672"/>
      <c r="K90" s="672"/>
      <c r="L90" s="672"/>
      <c r="M90" s="672"/>
      <c r="N90" s="672"/>
    </row>
    <row r="91" spans="1:15" hidden="1" outlineLevel="1" x14ac:dyDescent="0.25">
      <c r="A91" s="497" t="s">
        <v>437</v>
      </c>
      <c r="B91" s="455" t="s">
        <v>219</v>
      </c>
      <c r="C91" s="496">
        <f>SUM(37698.63+1774.59)</f>
        <v>39473.219999999994</v>
      </c>
      <c r="D91" s="495">
        <f>SUM(111.61+0)</f>
        <v>111.61</v>
      </c>
      <c r="E91" s="492">
        <f t="shared" si="19"/>
        <v>39584.829999999994</v>
      </c>
      <c r="F91" s="494">
        <f>SUM(13424021.02+652210.48)</f>
        <v>14076231.5</v>
      </c>
      <c r="G91" s="493">
        <f>SUM(72230.53+0)</f>
        <v>72230.53</v>
      </c>
      <c r="H91" s="443">
        <f t="shared" si="20"/>
        <v>14148462.029999999</v>
      </c>
      <c r="J91" s="672"/>
      <c r="K91" s="672"/>
      <c r="L91" s="672"/>
      <c r="M91" s="672"/>
      <c r="N91" s="672"/>
    </row>
    <row r="92" spans="1:15" hidden="1" outlineLevel="1" x14ac:dyDescent="0.25">
      <c r="A92" s="497" t="s">
        <v>437</v>
      </c>
      <c r="B92" s="455" t="s">
        <v>222</v>
      </c>
      <c r="C92" s="496">
        <f>SUM(6.81+1552.11)</f>
        <v>1558.9199999999998</v>
      </c>
      <c r="D92" s="495">
        <f>SUM(0+0)</f>
        <v>0</v>
      </c>
      <c r="E92" s="492">
        <f t="shared" si="19"/>
        <v>1558.9199999999998</v>
      </c>
      <c r="F92" s="494">
        <f>SUM(2623.1+794824.03)</f>
        <v>797447.13</v>
      </c>
      <c r="G92" s="493">
        <f>SUM(0+0)</f>
        <v>0</v>
      </c>
      <c r="H92" s="443">
        <f t="shared" si="20"/>
        <v>797447.13</v>
      </c>
      <c r="J92" s="672"/>
      <c r="K92" s="672"/>
      <c r="L92" s="672"/>
      <c r="M92" s="672"/>
      <c r="N92" s="672"/>
    </row>
    <row r="93" spans="1:15" hidden="1" outlineLevel="1" x14ac:dyDescent="0.25">
      <c r="A93" s="497" t="s">
        <v>437</v>
      </c>
      <c r="B93" s="455" t="s">
        <v>223</v>
      </c>
      <c r="C93" s="496">
        <v>0</v>
      </c>
      <c r="D93" s="495">
        <v>25556.720000000001</v>
      </c>
      <c r="E93" s="492">
        <f t="shared" si="19"/>
        <v>25556.720000000001</v>
      </c>
      <c r="F93" s="494">
        <v>0</v>
      </c>
      <c r="G93" s="493">
        <v>14445388.630000001</v>
      </c>
      <c r="H93" s="443">
        <f t="shared" si="20"/>
        <v>14445388.630000001</v>
      </c>
      <c r="J93" s="672"/>
      <c r="K93" s="672"/>
      <c r="L93" s="672"/>
      <c r="M93" s="672"/>
      <c r="N93" s="672"/>
    </row>
    <row r="94" spans="1:15" hidden="1" outlineLevel="1" x14ac:dyDescent="0.25">
      <c r="A94" s="497" t="s">
        <v>437</v>
      </c>
      <c r="B94" s="455" t="s">
        <v>231</v>
      </c>
      <c r="C94" s="496">
        <f>SUM(0+3697.94)</f>
        <v>3697.94</v>
      </c>
      <c r="D94" s="495">
        <f>SUM(6445.97+0)</f>
        <v>6445.97</v>
      </c>
      <c r="E94" s="492">
        <f t="shared" si="19"/>
        <v>10143.91</v>
      </c>
      <c r="F94" s="494">
        <f>SUM(0+1215586.19)</f>
        <v>1215586.19</v>
      </c>
      <c r="G94" s="493">
        <f>SUM(3214065.73+0)</f>
        <v>3214065.73</v>
      </c>
      <c r="H94" s="443">
        <f t="shared" si="20"/>
        <v>4429651.92</v>
      </c>
      <c r="J94" s="672"/>
      <c r="K94" s="672"/>
      <c r="L94" s="672"/>
      <c r="M94" s="672"/>
      <c r="N94" s="672"/>
    </row>
    <row r="95" spans="1:15" hidden="1" outlineLevel="1" x14ac:dyDescent="0.25">
      <c r="A95" s="497" t="s">
        <v>437</v>
      </c>
      <c r="B95" s="455" t="s">
        <v>239</v>
      </c>
      <c r="C95" s="496">
        <v>0</v>
      </c>
      <c r="D95" s="495">
        <v>0</v>
      </c>
      <c r="E95" s="492">
        <f t="shared" si="19"/>
        <v>0</v>
      </c>
      <c r="F95" s="494">
        <v>0</v>
      </c>
      <c r="G95" s="493">
        <v>0</v>
      </c>
      <c r="H95" s="443">
        <f t="shared" si="20"/>
        <v>0</v>
      </c>
      <c r="J95" s="672"/>
      <c r="K95" s="672"/>
      <c r="L95" s="672"/>
      <c r="M95" s="672"/>
      <c r="N95" s="672"/>
    </row>
    <row r="96" spans="1:15" hidden="1" outlineLevel="1" x14ac:dyDescent="0.25">
      <c r="A96" s="497" t="s">
        <v>437</v>
      </c>
      <c r="B96" s="455" t="s">
        <v>241</v>
      </c>
      <c r="C96" s="496">
        <v>0</v>
      </c>
      <c r="D96" s="495">
        <v>147.35</v>
      </c>
      <c r="E96" s="492">
        <f t="shared" si="19"/>
        <v>147.35</v>
      </c>
      <c r="F96" s="494">
        <v>0</v>
      </c>
      <c r="G96" s="493">
        <v>45275.53</v>
      </c>
      <c r="H96" s="443">
        <f t="shared" si="20"/>
        <v>45275.53</v>
      </c>
      <c r="J96" s="672"/>
      <c r="K96" s="672"/>
      <c r="L96" s="672"/>
      <c r="M96" s="672"/>
      <c r="N96" s="672"/>
    </row>
    <row r="97" spans="1:15" hidden="1" outlineLevel="1" x14ac:dyDescent="0.25">
      <c r="A97" s="497" t="s">
        <v>437</v>
      </c>
      <c r="B97" s="455" t="s">
        <v>242</v>
      </c>
      <c r="C97" s="496">
        <v>1409.65</v>
      </c>
      <c r="D97" s="495">
        <v>0</v>
      </c>
      <c r="E97" s="492">
        <f t="shared" si="19"/>
        <v>1409.65</v>
      </c>
      <c r="F97" s="494">
        <v>352714.5</v>
      </c>
      <c r="G97" s="493">
        <v>0</v>
      </c>
      <c r="H97" s="443">
        <f t="shared" si="20"/>
        <v>352714.5</v>
      </c>
      <c r="J97" s="672"/>
      <c r="K97" s="672"/>
      <c r="L97" s="672"/>
      <c r="M97" s="672"/>
      <c r="N97" s="672"/>
    </row>
    <row r="98" spans="1:15" hidden="1" outlineLevel="1" x14ac:dyDescent="0.25">
      <c r="A98" s="497" t="s">
        <v>437</v>
      </c>
      <c r="B98" s="455" t="s">
        <v>244</v>
      </c>
      <c r="C98" s="496">
        <v>8836.44</v>
      </c>
      <c r="D98" s="495">
        <v>0</v>
      </c>
      <c r="E98" s="492">
        <f t="shared" si="19"/>
        <v>8836.44</v>
      </c>
      <c r="F98" s="494">
        <v>3818030.66</v>
      </c>
      <c r="G98" s="493">
        <v>0</v>
      </c>
      <c r="H98" s="443">
        <f t="shared" si="20"/>
        <v>3818030.66</v>
      </c>
      <c r="J98" s="672"/>
      <c r="K98" s="672"/>
      <c r="L98" s="672"/>
      <c r="M98" s="672"/>
      <c r="N98" s="672"/>
    </row>
    <row r="99" spans="1:15" hidden="1" outlineLevel="1" x14ac:dyDescent="0.25">
      <c r="A99" s="497" t="s">
        <v>437</v>
      </c>
      <c r="B99" s="455" t="s">
        <v>245</v>
      </c>
      <c r="C99" s="496">
        <v>13232.89</v>
      </c>
      <c r="D99" s="495">
        <v>3201.16</v>
      </c>
      <c r="E99" s="492">
        <f t="shared" si="19"/>
        <v>16434.05</v>
      </c>
      <c r="F99" s="494">
        <v>6354766.8300000001</v>
      </c>
      <c r="G99" s="493">
        <v>1103902.56</v>
      </c>
      <c r="H99" s="443">
        <f t="shared" si="20"/>
        <v>7458669.3900000006</v>
      </c>
      <c r="J99" s="672"/>
      <c r="K99" s="672"/>
      <c r="L99" s="672"/>
      <c r="M99" s="672"/>
      <c r="N99" s="672"/>
    </row>
    <row r="100" spans="1:15" hidden="1" outlineLevel="1" x14ac:dyDescent="0.25">
      <c r="A100" s="497" t="s">
        <v>437</v>
      </c>
      <c r="B100" s="455" t="s">
        <v>246</v>
      </c>
      <c r="C100" s="496">
        <v>14137.32</v>
      </c>
      <c r="D100" s="495">
        <v>0</v>
      </c>
      <c r="E100" s="492">
        <f t="shared" si="19"/>
        <v>14137.32</v>
      </c>
      <c r="F100" s="494">
        <v>5828790.9299999997</v>
      </c>
      <c r="G100" s="493">
        <v>0</v>
      </c>
      <c r="H100" s="443">
        <f t="shared" si="20"/>
        <v>5828790.9299999997</v>
      </c>
      <c r="J100" s="672"/>
      <c r="K100" s="672"/>
      <c r="L100" s="672"/>
      <c r="M100" s="672"/>
      <c r="N100" s="672"/>
    </row>
    <row r="101" spans="1:15" hidden="1" outlineLevel="1" x14ac:dyDescent="0.25">
      <c r="A101" s="497" t="s">
        <v>437</v>
      </c>
      <c r="B101" s="455" t="s">
        <v>248</v>
      </c>
      <c r="C101" s="496">
        <v>7186</v>
      </c>
      <c r="D101" s="495">
        <v>0</v>
      </c>
      <c r="E101" s="492">
        <f t="shared" si="19"/>
        <v>7186</v>
      </c>
      <c r="F101" s="494">
        <v>2661659.63</v>
      </c>
      <c r="G101" s="493">
        <v>0</v>
      </c>
      <c r="H101" s="443">
        <f t="shared" si="20"/>
        <v>2661659.63</v>
      </c>
      <c r="J101" s="672"/>
      <c r="K101" s="672"/>
      <c r="L101" s="672"/>
      <c r="M101" s="672"/>
      <c r="N101" s="672"/>
    </row>
    <row r="102" spans="1:15" hidden="1" outlineLevel="1" x14ac:dyDescent="0.25">
      <c r="A102" s="497" t="s">
        <v>437</v>
      </c>
      <c r="B102" s="455" t="s">
        <v>252</v>
      </c>
      <c r="C102" s="496">
        <v>2097.85</v>
      </c>
      <c r="D102" s="495">
        <v>1599.94</v>
      </c>
      <c r="E102" s="492">
        <f t="shared" si="19"/>
        <v>3697.79</v>
      </c>
      <c r="F102" s="494">
        <v>772463.06</v>
      </c>
      <c r="G102" s="493">
        <v>772165.91</v>
      </c>
      <c r="H102" s="443">
        <f t="shared" si="20"/>
        <v>1544628.9700000002</v>
      </c>
      <c r="J102" s="672"/>
      <c r="K102" s="672"/>
      <c r="L102" s="672"/>
      <c r="M102" s="672"/>
      <c r="N102" s="672"/>
    </row>
    <row r="103" spans="1:15" hidden="1" outlineLevel="1" x14ac:dyDescent="0.25">
      <c r="A103" s="497" t="s">
        <v>437</v>
      </c>
      <c r="B103" s="455" t="s">
        <v>224</v>
      </c>
      <c r="C103" s="496">
        <f>SUM(0.38+15518.4+35671.71)</f>
        <v>51190.49</v>
      </c>
      <c r="D103" s="495">
        <f>SUM(0+6.02+720.92)</f>
        <v>726.93999999999994</v>
      </c>
      <c r="E103" s="492">
        <f t="shared" si="19"/>
        <v>51917.43</v>
      </c>
      <c r="F103" s="494">
        <f>SUM(71.48+5912735.31+8912888.08)</f>
        <v>14825694.870000001</v>
      </c>
      <c r="G103" s="493">
        <f>SUM(0+2261.71+355009.92)</f>
        <v>357271.63</v>
      </c>
      <c r="H103" s="443">
        <f t="shared" si="20"/>
        <v>15182966.500000002</v>
      </c>
      <c r="J103" s="672"/>
      <c r="K103" s="672"/>
      <c r="L103" s="672"/>
      <c r="M103" s="672"/>
      <c r="N103" s="672"/>
    </row>
    <row r="104" spans="1:15" hidden="1" outlineLevel="1" x14ac:dyDescent="0.25">
      <c r="A104" s="497" t="s">
        <v>437</v>
      </c>
      <c r="B104" s="455" t="s">
        <v>259</v>
      </c>
      <c r="C104" s="496">
        <f>SUM(8677.42+2522.31)</f>
        <v>11199.73</v>
      </c>
      <c r="D104" s="495">
        <f>SUM(0+0)</f>
        <v>0</v>
      </c>
      <c r="E104" s="492">
        <f t="shared" si="19"/>
        <v>11199.73</v>
      </c>
      <c r="F104" s="494">
        <f>SUM(3768789.14+520204.37)</f>
        <v>4288993.51</v>
      </c>
      <c r="G104" s="493">
        <f>SUM(0+0)</f>
        <v>0</v>
      </c>
      <c r="H104" s="443">
        <f t="shared" si="20"/>
        <v>4288993.51</v>
      </c>
      <c r="J104" s="672"/>
      <c r="K104" s="672"/>
      <c r="L104" s="672"/>
      <c r="M104" s="672"/>
      <c r="N104" s="672"/>
    </row>
    <row r="105" spans="1:15" s="481" customFormat="1" ht="15" collapsed="1" thickTop="1" thickBot="1" x14ac:dyDescent="0.3">
      <c r="A105" s="628">
        <v>1999</v>
      </c>
      <c r="B105" s="627" t="s">
        <v>403</v>
      </c>
      <c r="C105" s="633">
        <f>SUM(C89:C104)</f>
        <v>170075.56</v>
      </c>
      <c r="D105" s="648">
        <f>SUM(D89:D104)</f>
        <v>38018.960000000006</v>
      </c>
      <c r="E105" s="649">
        <f t="shared" si="19"/>
        <v>208094.52000000002</v>
      </c>
      <c r="F105" s="634">
        <f>SUM(F89:F104)</f>
        <v>62759066.350000001</v>
      </c>
      <c r="G105" s="641">
        <f>SUM(G89:G104)</f>
        <v>20089355.689999998</v>
      </c>
      <c r="H105" s="652">
        <f t="shared" ref="H105" si="21">+G105+F105</f>
        <v>82848422.039999992</v>
      </c>
      <c r="I105" s="672">
        <f>+'TAB1.0 Accomplshmnt by District'!E71-C105</f>
        <v>0</v>
      </c>
      <c r="J105" s="672">
        <f>+'TAB1.0 Accomplshmnt by District'!G71-D105</f>
        <v>0</v>
      </c>
      <c r="K105" s="672">
        <f>+'TAB1.0 Accomplshmnt by District'!I71-E105</f>
        <v>0</v>
      </c>
      <c r="L105" s="672">
        <f>+'TAB1.0 Accomplshmnt by District'!J71-F105</f>
        <v>0</v>
      </c>
      <c r="M105" s="672">
        <f>+'TAB1.0 Accomplshmnt by District'!L71-G105</f>
        <v>91.00000000372529</v>
      </c>
      <c r="N105" s="672">
        <f>+'TAB1.0 Accomplshmnt by District'!N71-H105</f>
        <v>91</v>
      </c>
      <c r="O105" s="482"/>
    </row>
    <row r="106" spans="1:15" ht="14.4" hidden="1" outlineLevel="1" thickTop="1" x14ac:dyDescent="0.25">
      <c r="A106" s="497" t="s">
        <v>283</v>
      </c>
      <c r="B106" s="455" t="s">
        <v>214</v>
      </c>
      <c r="C106" s="496">
        <v>5067.34</v>
      </c>
      <c r="D106" s="495">
        <v>80.27</v>
      </c>
      <c r="E106" s="492">
        <f t="shared" ref="E106:E122" si="22">SUM(C106:D106)</f>
        <v>5147.6100000000006</v>
      </c>
      <c r="F106" s="494">
        <v>2219627.59</v>
      </c>
      <c r="G106" s="493">
        <v>38528.53</v>
      </c>
      <c r="H106" s="443">
        <f t="shared" ref="H106:H121" si="23">SUM(F106:G106)</f>
        <v>2258156.1199999996</v>
      </c>
      <c r="J106" s="672"/>
      <c r="K106" s="672"/>
      <c r="L106" s="672"/>
      <c r="M106" s="672"/>
      <c r="N106" s="672"/>
    </row>
    <row r="107" spans="1:15" hidden="1" outlineLevel="1" x14ac:dyDescent="0.25">
      <c r="A107" s="497" t="s">
        <v>283</v>
      </c>
      <c r="B107" s="455" t="s">
        <v>216</v>
      </c>
      <c r="C107" s="496">
        <v>7638.16</v>
      </c>
      <c r="D107" s="495">
        <v>0</v>
      </c>
      <c r="E107" s="492">
        <f t="shared" si="22"/>
        <v>7638.16</v>
      </c>
      <c r="F107" s="494">
        <v>2445791.84</v>
      </c>
      <c r="G107" s="493">
        <v>0</v>
      </c>
      <c r="H107" s="443">
        <f t="shared" si="23"/>
        <v>2445791.84</v>
      </c>
      <c r="J107" s="672"/>
      <c r="K107" s="672"/>
      <c r="L107" s="672"/>
      <c r="M107" s="672"/>
      <c r="N107" s="672"/>
    </row>
    <row r="108" spans="1:15" hidden="1" outlineLevel="1" x14ac:dyDescent="0.25">
      <c r="A108" s="497" t="s">
        <v>283</v>
      </c>
      <c r="B108" s="455" t="s">
        <v>219</v>
      </c>
      <c r="C108" s="496">
        <f>SUM(1.91+66776.18+2420.64)</f>
        <v>69198.73</v>
      </c>
      <c r="D108" s="495">
        <f>SUM(0+2.33+0)</f>
        <v>2.33</v>
      </c>
      <c r="E108" s="492">
        <f t="shared" si="22"/>
        <v>69201.06</v>
      </c>
      <c r="F108" s="494">
        <f>SUM(517.16+23309016.32+1007493.76)</f>
        <v>24317027.240000002</v>
      </c>
      <c r="G108" s="493">
        <f>SUM(0+498.94+0)</f>
        <v>498.94</v>
      </c>
      <c r="H108" s="443">
        <f t="shared" si="23"/>
        <v>24317526.180000003</v>
      </c>
      <c r="J108" s="672"/>
      <c r="K108" s="672"/>
      <c r="L108" s="672"/>
      <c r="M108" s="672"/>
      <c r="N108" s="672"/>
    </row>
    <row r="109" spans="1:15" hidden="1" outlineLevel="1" x14ac:dyDescent="0.25">
      <c r="A109" s="497" t="s">
        <v>283</v>
      </c>
      <c r="B109" s="455" t="s">
        <v>222</v>
      </c>
      <c r="C109" s="496">
        <f>SUM(56.18+2996.06)</f>
        <v>3052.24</v>
      </c>
      <c r="D109" s="495">
        <f>SUM(0+0)</f>
        <v>0</v>
      </c>
      <c r="E109" s="492">
        <f t="shared" si="22"/>
        <v>3052.24</v>
      </c>
      <c r="F109" s="494">
        <f>SUM(29345.52+1479725.18)</f>
        <v>1509070.7</v>
      </c>
      <c r="G109" s="493">
        <f>SUM(0+0)</f>
        <v>0</v>
      </c>
      <c r="H109" s="443">
        <f t="shared" si="23"/>
        <v>1509070.7</v>
      </c>
      <c r="J109" s="672"/>
      <c r="K109" s="672"/>
      <c r="L109" s="672"/>
      <c r="M109" s="672"/>
      <c r="N109" s="672"/>
    </row>
    <row r="110" spans="1:15" hidden="1" outlineLevel="1" x14ac:dyDescent="0.25">
      <c r="A110" s="497" t="s">
        <v>283</v>
      </c>
      <c r="B110" s="455" t="s">
        <v>223</v>
      </c>
      <c r="C110" s="496">
        <v>713.81</v>
      </c>
      <c r="D110" s="495">
        <v>35099.480000000003</v>
      </c>
      <c r="E110" s="492">
        <f t="shared" si="22"/>
        <v>35813.29</v>
      </c>
      <c r="F110" s="494">
        <v>160223.01</v>
      </c>
      <c r="G110" s="493">
        <v>17929573.079999998</v>
      </c>
      <c r="H110" s="443">
        <f t="shared" si="23"/>
        <v>18089796.09</v>
      </c>
      <c r="J110" s="672"/>
      <c r="K110" s="672"/>
      <c r="L110" s="672"/>
      <c r="M110" s="672"/>
      <c r="N110" s="672"/>
    </row>
    <row r="111" spans="1:15" hidden="1" outlineLevel="1" x14ac:dyDescent="0.25">
      <c r="A111" s="497" t="s">
        <v>283</v>
      </c>
      <c r="B111" s="455" t="s">
        <v>231</v>
      </c>
      <c r="C111" s="496">
        <f>SUM(0+1246.44)</f>
        <v>1246.44</v>
      </c>
      <c r="D111" s="495">
        <f>SUM(5752.93+0)</f>
        <v>5752.93</v>
      </c>
      <c r="E111" s="492">
        <f t="shared" si="22"/>
        <v>6999.3700000000008</v>
      </c>
      <c r="F111" s="494">
        <f>SUM(0+395037.79)</f>
        <v>395037.79</v>
      </c>
      <c r="G111" s="493">
        <f>SUM(2797567.8+0)</f>
        <v>2797567.8</v>
      </c>
      <c r="H111" s="443">
        <f t="shared" si="23"/>
        <v>3192605.59</v>
      </c>
      <c r="J111" s="672"/>
      <c r="K111" s="672"/>
      <c r="L111" s="672"/>
      <c r="M111" s="672"/>
      <c r="N111" s="672"/>
    </row>
    <row r="112" spans="1:15" hidden="1" outlineLevel="1" x14ac:dyDescent="0.25">
      <c r="A112" s="497" t="s">
        <v>283</v>
      </c>
      <c r="B112" s="455" t="s">
        <v>239</v>
      </c>
      <c r="C112" s="496">
        <v>0</v>
      </c>
      <c r="D112" s="495">
        <v>0</v>
      </c>
      <c r="E112" s="492">
        <f t="shared" si="22"/>
        <v>0</v>
      </c>
      <c r="F112" s="494">
        <v>0</v>
      </c>
      <c r="G112" s="493">
        <v>0</v>
      </c>
      <c r="H112" s="443">
        <f t="shared" si="23"/>
        <v>0</v>
      </c>
      <c r="J112" s="672"/>
      <c r="K112" s="672"/>
      <c r="L112" s="672"/>
      <c r="M112" s="672"/>
      <c r="N112" s="672"/>
    </row>
    <row r="113" spans="1:15" hidden="1" outlineLevel="1" x14ac:dyDescent="0.25">
      <c r="A113" s="497" t="s">
        <v>283</v>
      </c>
      <c r="B113" s="455" t="s">
        <v>241</v>
      </c>
      <c r="C113" s="496">
        <v>0</v>
      </c>
      <c r="D113" s="495">
        <v>34.11</v>
      </c>
      <c r="E113" s="492">
        <f t="shared" si="22"/>
        <v>34.11</v>
      </c>
      <c r="F113" s="494">
        <v>0</v>
      </c>
      <c r="G113" s="493">
        <v>7790.08</v>
      </c>
      <c r="H113" s="443">
        <f t="shared" si="23"/>
        <v>7790.08</v>
      </c>
      <c r="J113" s="672"/>
      <c r="K113" s="672"/>
      <c r="L113" s="672"/>
      <c r="M113" s="672"/>
      <c r="N113" s="672"/>
    </row>
    <row r="114" spans="1:15" hidden="1" outlineLevel="1" x14ac:dyDescent="0.25">
      <c r="A114" s="497" t="s">
        <v>283</v>
      </c>
      <c r="B114" s="455" t="s">
        <v>242</v>
      </c>
      <c r="C114" s="496">
        <v>6033.19</v>
      </c>
      <c r="D114" s="495">
        <v>2173.69</v>
      </c>
      <c r="E114" s="492">
        <f t="shared" si="22"/>
        <v>8206.8799999999992</v>
      </c>
      <c r="F114" s="494">
        <v>2263738.54</v>
      </c>
      <c r="G114" s="493">
        <v>752125.59</v>
      </c>
      <c r="H114" s="443">
        <f t="shared" si="23"/>
        <v>3015864.13</v>
      </c>
      <c r="J114" s="672"/>
      <c r="K114" s="672"/>
      <c r="L114" s="672"/>
      <c r="M114" s="672"/>
      <c r="N114" s="672"/>
    </row>
    <row r="115" spans="1:15" hidden="1" outlineLevel="1" x14ac:dyDescent="0.25">
      <c r="A115" s="497" t="s">
        <v>283</v>
      </c>
      <c r="B115" s="455" t="s">
        <v>244</v>
      </c>
      <c r="C115" s="496">
        <v>4324.09</v>
      </c>
      <c r="D115" s="495">
        <v>2777.17</v>
      </c>
      <c r="E115" s="492">
        <f t="shared" si="22"/>
        <v>7101.26</v>
      </c>
      <c r="F115" s="494">
        <v>1373183.81</v>
      </c>
      <c r="G115" s="493">
        <v>1291465.96</v>
      </c>
      <c r="H115" s="443">
        <f t="shared" si="23"/>
        <v>2664649.77</v>
      </c>
      <c r="J115" s="672"/>
      <c r="K115" s="672"/>
      <c r="L115" s="672"/>
      <c r="M115" s="672"/>
      <c r="N115" s="672"/>
    </row>
    <row r="116" spans="1:15" hidden="1" outlineLevel="1" x14ac:dyDescent="0.25">
      <c r="A116" s="497" t="s">
        <v>283</v>
      </c>
      <c r="B116" s="455" t="s">
        <v>245</v>
      </c>
      <c r="C116" s="496">
        <v>7092.95</v>
      </c>
      <c r="D116" s="495">
        <v>1446.82</v>
      </c>
      <c r="E116" s="492">
        <f t="shared" si="22"/>
        <v>8539.77</v>
      </c>
      <c r="F116" s="494">
        <v>2929262.84</v>
      </c>
      <c r="G116" s="493">
        <v>444180.41</v>
      </c>
      <c r="H116" s="443">
        <f t="shared" si="23"/>
        <v>3373443.25</v>
      </c>
      <c r="J116" s="672"/>
      <c r="K116" s="672"/>
      <c r="L116" s="672"/>
      <c r="M116" s="672"/>
      <c r="N116" s="672"/>
    </row>
    <row r="117" spans="1:15" hidden="1" outlineLevel="1" x14ac:dyDescent="0.25">
      <c r="A117" s="497" t="s">
        <v>283</v>
      </c>
      <c r="B117" s="455" t="s">
        <v>246</v>
      </c>
      <c r="C117" s="496">
        <v>15338.12</v>
      </c>
      <c r="D117" s="495">
        <v>0</v>
      </c>
      <c r="E117" s="492">
        <f t="shared" si="22"/>
        <v>15338.12</v>
      </c>
      <c r="F117" s="494">
        <v>6086170.0499999998</v>
      </c>
      <c r="G117" s="493">
        <v>0</v>
      </c>
      <c r="H117" s="443">
        <f t="shared" si="23"/>
        <v>6086170.0499999998</v>
      </c>
      <c r="J117" s="672"/>
      <c r="K117" s="672"/>
      <c r="L117" s="672"/>
      <c r="M117" s="672"/>
      <c r="N117" s="672"/>
    </row>
    <row r="118" spans="1:15" hidden="1" outlineLevel="1" x14ac:dyDescent="0.25">
      <c r="A118" s="497" t="s">
        <v>283</v>
      </c>
      <c r="B118" s="455" t="s">
        <v>248</v>
      </c>
      <c r="C118" s="496">
        <v>3627.45</v>
      </c>
      <c r="D118" s="495">
        <v>0</v>
      </c>
      <c r="E118" s="492">
        <f t="shared" si="22"/>
        <v>3627.45</v>
      </c>
      <c r="F118" s="494">
        <v>1476702.7</v>
      </c>
      <c r="G118" s="493">
        <v>0</v>
      </c>
      <c r="H118" s="443">
        <f t="shared" si="23"/>
        <v>1476702.7</v>
      </c>
      <c r="J118" s="672"/>
      <c r="K118" s="672"/>
      <c r="L118" s="672"/>
      <c r="M118" s="672"/>
      <c r="N118" s="672"/>
    </row>
    <row r="119" spans="1:15" hidden="1" outlineLevel="1" x14ac:dyDescent="0.25">
      <c r="A119" s="497" t="s">
        <v>283</v>
      </c>
      <c r="B119" s="455" t="s">
        <v>252</v>
      </c>
      <c r="C119" s="496">
        <v>455.75</v>
      </c>
      <c r="D119" s="495">
        <v>1643.53</v>
      </c>
      <c r="E119" s="492">
        <f t="shared" si="22"/>
        <v>2099.2799999999997</v>
      </c>
      <c r="F119" s="494">
        <v>169372.14</v>
      </c>
      <c r="G119" s="493">
        <v>785061.49</v>
      </c>
      <c r="H119" s="443">
        <f t="shared" si="23"/>
        <v>954433.63</v>
      </c>
      <c r="J119" s="672"/>
      <c r="K119" s="672"/>
      <c r="L119" s="672"/>
      <c r="M119" s="672"/>
      <c r="N119" s="672"/>
    </row>
    <row r="120" spans="1:15" hidden="1" outlineLevel="1" x14ac:dyDescent="0.25">
      <c r="A120" s="497" t="s">
        <v>283</v>
      </c>
      <c r="B120" s="455" t="s">
        <v>224</v>
      </c>
      <c r="C120" s="496">
        <f>SUM(23438.69+45073.71)</f>
        <v>68512.399999999994</v>
      </c>
      <c r="D120" s="495">
        <f>SUM(49.77+654.61)</f>
        <v>704.38</v>
      </c>
      <c r="E120" s="492">
        <f t="shared" si="22"/>
        <v>69216.78</v>
      </c>
      <c r="F120" s="494">
        <f>SUM(8765856.24+11836808.01)</f>
        <v>20602664.25</v>
      </c>
      <c r="G120" s="493">
        <f>SUM(17044.07+335084.99)</f>
        <v>352129.06</v>
      </c>
      <c r="H120" s="443">
        <f t="shared" si="23"/>
        <v>20954793.309999999</v>
      </c>
      <c r="J120" s="672"/>
      <c r="K120" s="672"/>
      <c r="L120" s="672"/>
      <c r="M120" s="672"/>
      <c r="N120" s="672"/>
    </row>
    <row r="121" spans="1:15" hidden="1" outlineLevel="1" x14ac:dyDescent="0.25">
      <c r="A121" s="497" t="s">
        <v>283</v>
      </c>
      <c r="B121" s="455" t="s">
        <v>259</v>
      </c>
      <c r="C121" s="496">
        <f>SUM(22420.43+353.38)</f>
        <v>22773.81</v>
      </c>
      <c r="D121" s="495">
        <f>SUM(0+0)</f>
        <v>0</v>
      </c>
      <c r="E121" s="492">
        <f t="shared" si="22"/>
        <v>22773.81</v>
      </c>
      <c r="F121" s="494">
        <f>SUM(8930209.26+93232.71)</f>
        <v>9023441.9700000007</v>
      </c>
      <c r="G121" s="493">
        <f>SUM(0+0)</f>
        <v>0</v>
      </c>
      <c r="H121" s="443">
        <f t="shared" si="23"/>
        <v>9023441.9700000007</v>
      </c>
      <c r="J121" s="672"/>
      <c r="K121" s="672"/>
      <c r="L121" s="672"/>
      <c r="M121" s="672"/>
      <c r="N121" s="672"/>
    </row>
    <row r="122" spans="1:15" s="481" customFormat="1" ht="15" collapsed="1" thickTop="1" thickBot="1" x14ac:dyDescent="0.3">
      <c r="A122" s="628">
        <v>2000</v>
      </c>
      <c r="B122" s="627" t="s">
        <v>403</v>
      </c>
      <c r="C122" s="633">
        <f>SUM(C106:C121)</f>
        <v>215074.47999999998</v>
      </c>
      <c r="D122" s="648">
        <f>SUM(D106:D121)</f>
        <v>49714.71</v>
      </c>
      <c r="E122" s="649">
        <f t="shared" si="22"/>
        <v>264789.19</v>
      </c>
      <c r="F122" s="634">
        <f>SUM(F106:F121)</f>
        <v>74971314.469999999</v>
      </c>
      <c r="G122" s="641">
        <f>SUM(G106:G121)</f>
        <v>24398920.939999994</v>
      </c>
      <c r="H122" s="652">
        <f t="shared" ref="H122" si="24">+G122+F122</f>
        <v>99370235.409999996</v>
      </c>
      <c r="I122" s="672">
        <f>+'TAB1.0 Accomplshmnt by District'!E81-C122</f>
        <v>-9.9999999802093953E-3</v>
      </c>
      <c r="J122" s="672">
        <f>+'TAB1.0 Accomplshmnt by District'!G81-D122</f>
        <v>0</v>
      </c>
      <c r="K122" s="672">
        <f>+'TAB1.0 Accomplshmnt by District'!I81-E122</f>
        <v>-1.0000000009313226E-2</v>
      </c>
      <c r="L122" s="672">
        <f>+'TAB1.0 Accomplshmnt by District'!J81-F122</f>
        <v>0</v>
      </c>
      <c r="M122" s="672">
        <f>+'TAB1.0 Accomplshmnt by District'!L81-G122</f>
        <v>0</v>
      </c>
      <c r="N122" s="672">
        <f>+'TAB1.0 Accomplshmnt by District'!N81-H122</f>
        <v>0</v>
      </c>
      <c r="O122" s="482"/>
    </row>
    <row r="123" spans="1:15" ht="14.4" hidden="1" outlineLevel="1" thickTop="1" x14ac:dyDescent="0.25">
      <c r="A123" s="497" t="s">
        <v>284</v>
      </c>
      <c r="B123" s="455" t="s">
        <v>214</v>
      </c>
      <c r="C123" s="496">
        <v>4982.5600000000004</v>
      </c>
      <c r="D123" s="495">
        <v>120.01</v>
      </c>
      <c r="E123" s="492">
        <f t="shared" ref="E123:E154" si="25">SUM(C123:D123)</f>
        <v>5102.5700000000006</v>
      </c>
      <c r="F123" s="494">
        <v>2271471.91</v>
      </c>
      <c r="G123" s="493">
        <v>56578.93</v>
      </c>
      <c r="H123" s="443">
        <f t="shared" ref="H123:H138" si="26">SUM(F123:G123)</f>
        <v>2328050.8400000003</v>
      </c>
      <c r="I123" s="672">
        <f>+'TAB1.0 Accomplshmnt by District'!E75-C123</f>
        <v>61849.8</v>
      </c>
      <c r="J123" s="672">
        <f>+'TAB1.0 Accomplshmnt by District'!G75-D123</f>
        <v>-117.68</v>
      </c>
      <c r="K123" s="672">
        <f>+'TAB1.0 Accomplshmnt by District'!I75-E123</f>
        <v>61732.12</v>
      </c>
      <c r="L123" s="672">
        <f>+'TAB1.0 Accomplshmnt by District'!J75-F123</f>
        <v>21066889.93</v>
      </c>
      <c r="M123" s="672">
        <f>+'TAB1.0 Accomplshmnt by District'!L75-G123</f>
        <v>-56079.99</v>
      </c>
      <c r="N123" s="672">
        <f>+'TAB1.0 Accomplshmnt by District'!N75-H123</f>
        <v>21010809.940000001</v>
      </c>
    </row>
    <row r="124" spans="1:15" hidden="1" outlineLevel="1" x14ac:dyDescent="0.25">
      <c r="A124" s="497" t="s">
        <v>284</v>
      </c>
      <c r="B124" s="455" t="s">
        <v>216</v>
      </c>
      <c r="C124" s="496">
        <v>3295.94</v>
      </c>
      <c r="D124" s="495">
        <v>0</v>
      </c>
      <c r="E124" s="492">
        <f t="shared" si="25"/>
        <v>3295.94</v>
      </c>
      <c r="F124" s="494">
        <v>942755.78</v>
      </c>
      <c r="G124" s="493">
        <v>0</v>
      </c>
      <c r="H124" s="443">
        <f t="shared" si="26"/>
        <v>942755.78</v>
      </c>
      <c r="I124" s="672">
        <f>+'TAB1.0 Accomplshmnt by District'!E76-C124</f>
        <v>47979.88</v>
      </c>
      <c r="J124" s="672">
        <f>+'TAB1.0 Accomplshmnt by District'!G76-D124</f>
        <v>49.77</v>
      </c>
      <c r="K124" s="672">
        <f>+'TAB1.0 Accomplshmnt by District'!I76-E124</f>
        <v>48029.649999999994</v>
      </c>
      <c r="L124" s="672">
        <f>+'TAB1.0 Accomplshmnt by District'!J76-F124</f>
        <v>19240528.66</v>
      </c>
      <c r="M124" s="672">
        <f>+'TAB1.0 Accomplshmnt by District'!L76-G124</f>
        <v>17044.07</v>
      </c>
      <c r="N124" s="672">
        <f>+'TAB1.0 Accomplshmnt by District'!N76-H124</f>
        <v>19257572.73</v>
      </c>
    </row>
    <row r="125" spans="1:15" hidden="1" outlineLevel="1" x14ac:dyDescent="0.25">
      <c r="A125" s="497" t="s">
        <v>284</v>
      </c>
      <c r="B125" s="455" t="s">
        <v>219</v>
      </c>
      <c r="C125" s="496">
        <v>71377.03</v>
      </c>
      <c r="D125" s="495">
        <v>224.59</v>
      </c>
      <c r="E125" s="492">
        <f t="shared" si="25"/>
        <v>71601.62</v>
      </c>
      <c r="F125" s="494">
        <v>24050606.699999999</v>
      </c>
      <c r="G125" s="493">
        <v>50113.22</v>
      </c>
      <c r="H125" s="443">
        <f t="shared" si="26"/>
        <v>24100719.919999998</v>
      </c>
      <c r="I125" s="672">
        <f>+'TAB1.0 Accomplshmnt by District'!E77-C125</f>
        <v>-25949.940000000002</v>
      </c>
      <c r="J125" s="672">
        <f>+'TAB1.0 Accomplshmnt by District'!G77-D125</f>
        <v>430.02</v>
      </c>
      <c r="K125" s="672">
        <f>+'TAB1.0 Accomplshmnt by District'!I77-E125</f>
        <v>-25519.919999999998</v>
      </c>
      <c r="L125" s="672">
        <f>+'TAB1.0 Accomplshmnt by District'!J77-F125</f>
        <v>-12120565.979999999</v>
      </c>
      <c r="M125" s="672">
        <f>+'TAB1.0 Accomplshmnt by District'!L77-G125</f>
        <v>284971.77</v>
      </c>
      <c r="N125" s="672">
        <f>+'TAB1.0 Accomplshmnt by District'!N77-H125</f>
        <v>-11835594.209999997</v>
      </c>
    </row>
    <row r="126" spans="1:15" hidden="1" outlineLevel="1" x14ac:dyDescent="0.25">
      <c r="A126" s="497" t="s">
        <v>284</v>
      </c>
      <c r="B126" s="455" t="s">
        <v>222</v>
      </c>
      <c r="C126" s="496">
        <v>1336.19</v>
      </c>
      <c r="D126" s="495">
        <v>0</v>
      </c>
      <c r="E126" s="492">
        <f t="shared" si="25"/>
        <v>1336.19</v>
      </c>
      <c r="F126" s="494">
        <v>439167.32</v>
      </c>
      <c r="G126" s="493">
        <v>0</v>
      </c>
      <c r="H126" s="443">
        <f t="shared" si="26"/>
        <v>439167.32</v>
      </c>
      <c r="I126" s="672">
        <f>+'TAB1.0 Accomplshmnt by District'!E78-C126</f>
        <v>-622.38000000000011</v>
      </c>
      <c r="J126" s="672">
        <f>+'TAB1.0 Accomplshmnt by District'!G78-D126</f>
        <v>40852.410000000003</v>
      </c>
      <c r="K126" s="672">
        <f>+'TAB1.0 Accomplshmnt by District'!I78-E126</f>
        <v>40230.03</v>
      </c>
      <c r="L126" s="672">
        <f>+'TAB1.0 Accomplshmnt by District'!J78-F126</f>
        <v>-278944.31</v>
      </c>
      <c r="M126" s="672">
        <f>+'TAB1.0 Accomplshmnt by District'!L78-G126</f>
        <v>20727140.879999999</v>
      </c>
      <c r="N126" s="672">
        <f>+'TAB1.0 Accomplshmnt by District'!N78-H126</f>
        <v>20448196.57</v>
      </c>
    </row>
    <row r="127" spans="1:15" hidden="1" outlineLevel="1" x14ac:dyDescent="0.25">
      <c r="A127" s="497" t="s">
        <v>284</v>
      </c>
      <c r="B127" s="455" t="s">
        <v>223</v>
      </c>
      <c r="C127" s="496">
        <v>2596.0700000000002</v>
      </c>
      <c r="D127" s="495">
        <v>20371.990000000002</v>
      </c>
      <c r="E127" s="492">
        <f t="shared" si="25"/>
        <v>22968.06</v>
      </c>
      <c r="F127" s="494">
        <v>669753.24</v>
      </c>
      <c r="G127" s="493">
        <v>11111770.369999999</v>
      </c>
      <c r="H127" s="443">
        <f t="shared" si="26"/>
        <v>11781523.609999999</v>
      </c>
      <c r="I127" s="672">
        <f>+'TAB1.0 Accomplshmnt by District'!E79-C127</f>
        <v>-1349.63</v>
      </c>
      <c r="J127" s="672">
        <f>+'TAB1.0 Accomplshmnt by District'!G79-D127</f>
        <v>-20337.88</v>
      </c>
      <c r="K127" s="672">
        <f>+'TAB1.0 Accomplshmnt by District'!I79-E127</f>
        <v>-21687.510000000002</v>
      </c>
      <c r="L127" s="672">
        <f>+'TAB1.0 Accomplshmnt by District'!J79-F127</f>
        <v>-274715.45</v>
      </c>
      <c r="M127" s="672">
        <f>+'TAB1.0 Accomplshmnt by District'!L79-G127</f>
        <v>-11103980.289999999</v>
      </c>
      <c r="N127" s="672">
        <f>+'TAB1.0 Accomplshmnt by District'!N79-H127</f>
        <v>-11378695.74</v>
      </c>
    </row>
    <row r="128" spans="1:15" hidden="1" outlineLevel="1" x14ac:dyDescent="0.25">
      <c r="A128" s="497" t="s">
        <v>284</v>
      </c>
      <c r="B128" s="455" t="s">
        <v>231</v>
      </c>
      <c r="C128" s="496">
        <v>1174.9000000000001</v>
      </c>
      <c r="D128" s="495">
        <v>10978.35</v>
      </c>
      <c r="E128" s="492">
        <f t="shared" si="25"/>
        <v>12153.25</v>
      </c>
      <c r="F128" s="494">
        <v>422924.89</v>
      </c>
      <c r="G128" s="493">
        <v>6005763.5099999998</v>
      </c>
      <c r="H128" s="443">
        <f t="shared" si="26"/>
        <v>6428688.3999999994</v>
      </c>
      <c r="I128" s="672">
        <f>+'TAB1.0 Accomplshmnt by District'!E80-C128</f>
        <v>4858.2899999999991</v>
      </c>
      <c r="J128" s="672">
        <f>+'TAB1.0 Accomplshmnt by District'!G80-D128</f>
        <v>-8804.66</v>
      </c>
      <c r="K128" s="672">
        <f>+'TAB1.0 Accomplshmnt by District'!I80-E128</f>
        <v>-3946.3700000000008</v>
      </c>
      <c r="L128" s="672">
        <f>+'TAB1.0 Accomplshmnt by District'!J80-F128</f>
        <v>1840813.65</v>
      </c>
      <c r="M128" s="672">
        <f>+'TAB1.0 Accomplshmnt by District'!L80-G128</f>
        <v>-5253637.92</v>
      </c>
      <c r="N128" s="672">
        <f>+'TAB1.0 Accomplshmnt by District'!N80-H128</f>
        <v>-3412824.2699999996</v>
      </c>
    </row>
    <row r="129" spans="1:15" hidden="1" outlineLevel="1" x14ac:dyDescent="0.25">
      <c r="A129" s="497" t="s">
        <v>284</v>
      </c>
      <c r="B129" s="455" t="s">
        <v>239</v>
      </c>
      <c r="C129" s="496">
        <v>0</v>
      </c>
      <c r="D129" s="495">
        <v>8</v>
      </c>
      <c r="E129" s="492">
        <f t="shared" si="25"/>
        <v>8</v>
      </c>
      <c r="F129" s="494">
        <v>0</v>
      </c>
      <c r="G129" s="493">
        <v>2333.92</v>
      </c>
      <c r="H129" s="443">
        <f t="shared" si="26"/>
        <v>2333.92</v>
      </c>
      <c r="I129" s="672">
        <f>+'TAB1.0 Accomplshmnt by District'!E81-C129</f>
        <v>215074.47</v>
      </c>
      <c r="J129" s="672">
        <f>+'TAB1.0 Accomplshmnt by District'!G81-D129</f>
        <v>49706.710000000006</v>
      </c>
      <c r="K129" s="672">
        <f>+'TAB1.0 Accomplshmnt by District'!I81-E129</f>
        <v>264781.18</v>
      </c>
      <c r="L129" s="672">
        <f>+'TAB1.0 Accomplshmnt by District'!J81-F129</f>
        <v>74971314.470000014</v>
      </c>
      <c r="M129" s="672">
        <f>+'TAB1.0 Accomplshmnt by District'!L81-G129</f>
        <v>24396587.019999996</v>
      </c>
      <c r="N129" s="672">
        <f>+'TAB1.0 Accomplshmnt by District'!N81-H129</f>
        <v>99367901.49000001</v>
      </c>
    </row>
    <row r="130" spans="1:15" hidden="1" outlineLevel="1" x14ac:dyDescent="0.25">
      <c r="A130" s="497" t="s">
        <v>284</v>
      </c>
      <c r="B130" s="455" t="s">
        <v>241</v>
      </c>
      <c r="C130" s="496">
        <v>229.05</v>
      </c>
      <c r="D130" s="495">
        <v>126.05</v>
      </c>
      <c r="E130" s="492">
        <f t="shared" si="25"/>
        <v>355.1</v>
      </c>
      <c r="F130" s="494">
        <v>90566.5</v>
      </c>
      <c r="G130" s="493">
        <v>34600.769999999997</v>
      </c>
      <c r="H130" s="443">
        <f t="shared" si="26"/>
        <v>125167.26999999999</v>
      </c>
      <c r="I130" s="672">
        <f>+'TAB1.0 Accomplshmnt by District'!E82-C130</f>
        <v>5053.09</v>
      </c>
      <c r="J130" s="672">
        <f>+'TAB1.0 Accomplshmnt by District'!G82-D130</f>
        <v>993.56999999999994</v>
      </c>
      <c r="K130" s="672">
        <f>+'TAB1.0 Accomplshmnt by District'!I82-E130</f>
        <v>6046.66</v>
      </c>
      <c r="L130" s="672">
        <f>+'TAB1.0 Accomplshmnt by District'!J82-F130</f>
        <v>2245031.2799999998</v>
      </c>
      <c r="M130" s="672">
        <f>+'TAB1.0 Accomplshmnt by District'!L82-G130</f>
        <v>351864.20999999996</v>
      </c>
      <c r="N130" s="672">
        <f>+'TAB1.0 Accomplshmnt by District'!N82-H130</f>
        <v>2596895.4899999998</v>
      </c>
    </row>
    <row r="131" spans="1:15" hidden="1" outlineLevel="1" x14ac:dyDescent="0.25">
      <c r="A131" s="497" t="s">
        <v>284</v>
      </c>
      <c r="B131" s="455" t="s">
        <v>242</v>
      </c>
      <c r="C131" s="496">
        <v>13474.63</v>
      </c>
      <c r="D131" s="495">
        <v>2.0299999999999998</v>
      </c>
      <c r="E131" s="492">
        <f t="shared" si="25"/>
        <v>13476.66</v>
      </c>
      <c r="F131" s="494">
        <v>4207434.66</v>
      </c>
      <c r="G131" s="493">
        <v>756.67</v>
      </c>
      <c r="H131" s="443">
        <f t="shared" si="26"/>
        <v>4208191.33</v>
      </c>
      <c r="I131" s="672">
        <f>+'TAB1.0 Accomplshmnt by District'!E83-C131</f>
        <v>3585.17</v>
      </c>
      <c r="J131" s="672">
        <f>+'TAB1.0 Accomplshmnt by District'!G83-D131</f>
        <v>49.53</v>
      </c>
      <c r="K131" s="672">
        <f>+'TAB1.0 Accomplshmnt by District'!I83-E131</f>
        <v>3634.7000000000007</v>
      </c>
      <c r="L131" s="672">
        <f>+'TAB1.0 Accomplshmnt by District'!J83-F131</f>
        <v>2822856.37</v>
      </c>
      <c r="M131" s="672">
        <f>+'TAB1.0 Accomplshmnt by District'!L83-G131</f>
        <v>20915.45</v>
      </c>
      <c r="N131" s="672">
        <f>+'TAB1.0 Accomplshmnt by District'!N83-H131</f>
        <v>2843771.8200000003</v>
      </c>
    </row>
    <row r="132" spans="1:15" hidden="1" outlineLevel="1" x14ac:dyDescent="0.25">
      <c r="A132" s="497" t="s">
        <v>284</v>
      </c>
      <c r="B132" s="455" t="s">
        <v>244</v>
      </c>
      <c r="C132" s="496">
        <v>3245.5</v>
      </c>
      <c r="D132" s="495">
        <v>2599.02</v>
      </c>
      <c r="E132" s="492">
        <f t="shared" si="25"/>
        <v>5844.52</v>
      </c>
      <c r="F132" s="494">
        <v>1228740.25</v>
      </c>
      <c r="G132" s="493">
        <v>1174793.92</v>
      </c>
      <c r="H132" s="443">
        <f t="shared" si="26"/>
        <v>2403534.17</v>
      </c>
      <c r="I132" s="672">
        <f>+'TAB1.0 Accomplshmnt by District'!E84-C132</f>
        <v>0</v>
      </c>
      <c r="J132" s="672">
        <f>+'TAB1.0 Accomplshmnt by District'!G84-D132</f>
        <v>0</v>
      </c>
      <c r="K132" s="672">
        <f>+'TAB1.0 Accomplshmnt by District'!I84-E132</f>
        <v>0</v>
      </c>
      <c r="L132" s="672">
        <f>+'TAB1.0 Accomplshmnt by District'!J84-F132</f>
        <v>0</v>
      </c>
      <c r="M132" s="672">
        <f>+'TAB1.0 Accomplshmnt by District'!L84-G132</f>
        <v>0</v>
      </c>
      <c r="N132" s="672">
        <f>+'TAB1.0 Accomplshmnt by District'!N84-H132</f>
        <v>0</v>
      </c>
    </row>
    <row r="133" spans="1:15" hidden="1" outlineLevel="1" x14ac:dyDescent="0.25">
      <c r="A133" s="497" t="s">
        <v>284</v>
      </c>
      <c r="B133" s="455" t="s">
        <v>245</v>
      </c>
      <c r="C133" s="496">
        <v>356.5</v>
      </c>
      <c r="D133" s="495">
        <v>693.85</v>
      </c>
      <c r="E133" s="492">
        <f t="shared" si="25"/>
        <v>1050.3499999999999</v>
      </c>
      <c r="F133" s="494">
        <v>97935.33</v>
      </c>
      <c r="G133" s="493">
        <v>188688.9</v>
      </c>
      <c r="H133" s="443">
        <f t="shared" si="26"/>
        <v>286624.23</v>
      </c>
      <c r="I133" s="672">
        <f>+'TAB1.0 Accomplshmnt by District'!E85-C133</f>
        <v>59851.93</v>
      </c>
      <c r="J133" s="672">
        <f>+'TAB1.0 Accomplshmnt by District'!G85-D133</f>
        <v>-469.26</v>
      </c>
      <c r="K133" s="672">
        <f>+'TAB1.0 Accomplshmnt by District'!I85-E133</f>
        <v>59382.67</v>
      </c>
      <c r="L133" s="672">
        <f>+'TAB1.0 Accomplshmnt by District'!J85-F133</f>
        <v>19226710.770000003</v>
      </c>
      <c r="M133" s="672">
        <f>+'TAB1.0 Accomplshmnt by District'!L85-G133</f>
        <v>-138575.67999999999</v>
      </c>
      <c r="N133" s="672">
        <f>+'TAB1.0 Accomplshmnt by District'!N85-H133</f>
        <v>19088135.09</v>
      </c>
    </row>
    <row r="134" spans="1:15" hidden="1" outlineLevel="1" x14ac:dyDescent="0.25">
      <c r="A134" s="497" t="s">
        <v>284</v>
      </c>
      <c r="B134" s="455" t="s">
        <v>246</v>
      </c>
      <c r="C134" s="496">
        <v>12818.28</v>
      </c>
      <c r="D134" s="495">
        <v>51.56</v>
      </c>
      <c r="E134" s="492">
        <f t="shared" si="25"/>
        <v>12869.84</v>
      </c>
      <c r="F134" s="494">
        <v>5524687.0199999996</v>
      </c>
      <c r="G134" s="493">
        <v>21672.12</v>
      </c>
      <c r="H134" s="443">
        <f t="shared" si="26"/>
        <v>5546359.1399999997</v>
      </c>
      <c r="I134" s="672">
        <f>+'TAB1.0 Accomplshmnt by District'!E86-C134</f>
        <v>42236.270000000004</v>
      </c>
      <c r="J134" s="672">
        <f>+'TAB1.0 Accomplshmnt by District'!G86-D134</f>
        <v>93.85</v>
      </c>
      <c r="K134" s="672">
        <f>+'TAB1.0 Accomplshmnt by District'!I86-E134</f>
        <v>42330.12000000001</v>
      </c>
      <c r="L134" s="672">
        <f>+'TAB1.0 Accomplshmnt by District'!J86-F134</f>
        <v>15891268.940000001</v>
      </c>
      <c r="M134" s="672">
        <f>+'TAB1.0 Accomplshmnt by District'!L86-G134</f>
        <v>27923.610000000004</v>
      </c>
      <c r="N134" s="672">
        <f>+'TAB1.0 Accomplshmnt by District'!N86-H134</f>
        <v>15919192.550000001</v>
      </c>
    </row>
    <row r="135" spans="1:15" hidden="1" outlineLevel="1" x14ac:dyDescent="0.25">
      <c r="A135" s="497" t="s">
        <v>284</v>
      </c>
      <c r="B135" s="455" t="s">
        <v>248</v>
      </c>
      <c r="C135" s="496">
        <v>945.58</v>
      </c>
      <c r="D135" s="495">
        <v>0</v>
      </c>
      <c r="E135" s="492">
        <f t="shared" si="25"/>
        <v>945.58</v>
      </c>
      <c r="F135" s="494">
        <v>562848.23</v>
      </c>
      <c r="G135" s="493">
        <v>0</v>
      </c>
      <c r="H135" s="443">
        <f t="shared" si="26"/>
        <v>562848.23</v>
      </c>
      <c r="I135" s="672">
        <f>+'TAB1.0 Accomplshmnt by District'!E87-C135</f>
        <v>33797.99</v>
      </c>
      <c r="J135" s="672">
        <f>+'TAB1.0 Accomplshmnt by District'!G87-D135</f>
        <v>0</v>
      </c>
      <c r="K135" s="672">
        <f>+'TAB1.0 Accomplshmnt by District'!I87-E135</f>
        <v>33797.99</v>
      </c>
      <c r="L135" s="672">
        <f>+'TAB1.0 Accomplshmnt by District'!J87-F135</f>
        <v>8201117.8099999987</v>
      </c>
      <c r="M135" s="672">
        <f>+'TAB1.0 Accomplshmnt by District'!L87-G135</f>
        <v>0</v>
      </c>
      <c r="N135" s="672">
        <f>+'TAB1.0 Accomplshmnt by District'!N87-H135</f>
        <v>8201117.8099999987</v>
      </c>
    </row>
    <row r="136" spans="1:15" hidden="1" outlineLevel="1" x14ac:dyDescent="0.25">
      <c r="A136" s="497" t="s">
        <v>284</v>
      </c>
      <c r="B136" s="455" t="s">
        <v>252</v>
      </c>
      <c r="C136" s="496">
        <v>1254.18</v>
      </c>
      <c r="D136" s="495">
        <v>374.63</v>
      </c>
      <c r="E136" s="492">
        <f t="shared" si="25"/>
        <v>1628.81</v>
      </c>
      <c r="F136" s="494">
        <v>580870.75</v>
      </c>
      <c r="G136" s="493">
        <v>173506.85</v>
      </c>
      <c r="H136" s="443">
        <f t="shared" si="26"/>
        <v>754377.6</v>
      </c>
      <c r="I136" s="672">
        <f>+'TAB1.0 Accomplshmnt by District'!E88-C136</f>
        <v>1341.89</v>
      </c>
      <c r="J136" s="672">
        <f>+'TAB1.0 Accomplshmnt by District'!G88-D136</f>
        <v>30975.71</v>
      </c>
      <c r="K136" s="672">
        <f>+'TAB1.0 Accomplshmnt by District'!I88-E136</f>
        <v>32317.600000000002</v>
      </c>
      <c r="L136" s="672">
        <f>+'TAB1.0 Accomplshmnt by District'!J88-F136</f>
        <v>88882.489999999991</v>
      </c>
      <c r="M136" s="672">
        <f>+'TAB1.0 Accomplshmnt by District'!L88-G136</f>
        <v>16944027.029999997</v>
      </c>
      <c r="N136" s="672">
        <f>+'TAB1.0 Accomplshmnt by District'!N88-H136</f>
        <v>17032909.519999996</v>
      </c>
    </row>
    <row r="137" spans="1:15" hidden="1" outlineLevel="1" x14ac:dyDescent="0.25">
      <c r="A137" s="497" t="s">
        <v>284</v>
      </c>
      <c r="B137" s="455" t="s">
        <v>224</v>
      </c>
      <c r="C137" s="496">
        <v>57296.65</v>
      </c>
      <c r="D137" s="495">
        <v>1071.4000000000001</v>
      </c>
      <c r="E137" s="492">
        <f t="shared" si="25"/>
        <v>58368.05</v>
      </c>
      <c r="F137" s="494">
        <v>16944958.559999999</v>
      </c>
      <c r="G137" s="493">
        <v>411236.91</v>
      </c>
      <c r="H137" s="443">
        <f t="shared" si="26"/>
        <v>17356195.469999999</v>
      </c>
      <c r="I137" s="672">
        <f>+'TAB1.0 Accomplshmnt by District'!E89-C137</f>
        <v>-55892.700000000004</v>
      </c>
      <c r="J137" s="672">
        <f>+'TAB1.0 Accomplshmnt by District'!G89-D137</f>
        <v>-937.35000000000014</v>
      </c>
      <c r="K137" s="672">
        <f>+'TAB1.0 Accomplshmnt by District'!I89-E137</f>
        <v>-56830.05</v>
      </c>
      <c r="L137" s="672">
        <f>+'TAB1.0 Accomplshmnt by District'!J89-F137</f>
        <v>-16431467.169999998</v>
      </c>
      <c r="M137" s="672">
        <f>+'TAB1.0 Accomplshmnt by District'!L89-G137</f>
        <v>-374302.22</v>
      </c>
      <c r="N137" s="672">
        <f>+'TAB1.0 Accomplshmnt by District'!N89-H137</f>
        <v>-16805769.390000001</v>
      </c>
    </row>
    <row r="138" spans="1:15" hidden="1" outlineLevel="1" x14ac:dyDescent="0.25">
      <c r="A138" s="497" t="s">
        <v>284</v>
      </c>
      <c r="B138" s="455" t="s">
        <v>259</v>
      </c>
      <c r="C138" s="496">
        <v>21657.919999999998</v>
      </c>
      <c r="D138" s="495">
        <v>0</v>
      </c>
      <c r="E138" s="492">
        <f t="shared" si="25"/>
        <v>21657.919999999998</v>
      </c>
      <c r="F138" s="494">
        <v>8612297.3000000007</v>
      </c>
      <c r="G138" s="493">
        <v>0</v>
      </c>
      <c r="H138" s="443">
        <f t="shared" si="26"/>
        <v>8612297.3000000007</v>
      </c>
      <c r="I138" s="672">
        <f>+'TAB1.0 Accomplshmnt by District'!E90-C138</f>
        <v>-8183.2899999999991</v>
      </c>
      <c r="J138" s="672">
        <f>+'TAB1.0 Accomplshmnt by District'!G90-D138</f>
        <v>2.0299999999999998</v>
      </c>
      <c r="K138" s="672">
        <f>+'TAB1.0 Accomplshmnt by District'!I90-E138</f>
        <v>-8181.2599999999984</v>
      </c>
      <c r="L138" s="672">
        <f>+'TAB1.0 Accomplshmnt by District'!J90-F138</f>
        <v>-4404862.6400000006</v>
      </c>
      <c r="M138" s="672">
        <f>+'TAB1.0 Accomplshmnt by District'!L90-G138</f>
        <v>756.67</v>
      </c>
      <c r="N138" s="672">
        <f>+'TAB1.0 Accomplshmnt by District'!N90-H138</f>
        <v>-4404105.9700000007</v>
      </c>
    </row>
    <row r="139" spans="1:15" s="481" customFormat="1" ht="15" collapsed="1" thickTop="1" thickBot="1" x14ac:dyDescent="0.3">
      <c r="A139" s="628">
        <v>2001</v>
      </c>
      <c r="B139" s="627" t="s">
        <v>403</v>
      </c>
      <c r="C139" s="633">
        <f>SUM(C123:C138)</f>
        <v>196040.97999999998</v>
      </c>
      <c r="D139" s="648">
        <f>SUM(D123:D138)</f>
        <v>36621.479999999996</v>
      </c>
      <c r="E139" s="649">
        <f t="shared" si="25"/>
        <v>232662.45999999996</v>
      </c>
      <c r="F139" s="634">
        <f>SUM(F123:F138)</f>
        <v>66647018.439999983</v>
      </c>
      <c r="G139" s="641">
        <f>SUM(G123:G138)</f>
        <v>19231816.090000004</v>
      </c>
      <c r="H139" s="652">
        <f t="shared" ref="H139:H154" si="27">+G139+F139</f>
        <v>85878834.529999986</v>
      </c>
      <c r="I139" s="672">
        <f>+'TAB1.0 Accomplshmnt by District'!E91-C139</f>
        <v>-2972.3399999999674</v>
      </c>
      <c r="J139" s="672">
        <f>+'TAB1.0 Accomplshmnt by District'!G91-D139</f>
        <v>-994.85999999999331</v>
      </c>
      <c r="K139" s="672">
        <f>+'TAB1.0 Accomplshmnt by District'!I91-E139</f>
        <v>-3967.1999999999534</v>
      </c>
      <c r="L139" s="672">
        <f>+'TAB1.0 Accomplshmnt by District'!J91-F139</f>
        <v>-1157141.9899999797</v>
      </c>
      <c r="M139" s="672">
        <f>+'TAB1.0 Accomplshmnt by District'!L91-G139</f>
        <v>-393950.88000000268</v>
      </c>
      <c r="N139" s="672">
        <f>+'TAB1.0 Accomplshmnt by District'!N91-H139</f>
        <v>-1551092.8699999899</v>
      </c>
      <c r="O139" s="482"/>
    </row>
    <row r="140" spans="1:15" ht="14.4" hidden="1" outlineLevel="1" thickTop="1" x14ac:dyDescent="0.25">
      <c r="A140" s="497" t="s">
        <v>285</v>
      </c>
      <c r="B140" s="455" t="s">
        <v>214</v>
      </c>
      <c r="C140" s="496">
        <v>2245.69</v>
      </c>
      <c r="D140" s="495">
        <v>30.33</v>
      </c>
      <c r="E140" s="492">
        <f t="shared" si="25"/>
        <v>2276.02</v>
      </c>
      <c r="F140" s="494">
        <v>974642.96</v>
      </c>
      <c r="G140" s="493">
        <v>13533.32</v>
      </c>
      <c r="H140" s="443">
        <f t="shared" si="27"/>
        <v>988176.27999999991</v>
      </c>
      <c r="J140" s="672"/>
      <c r="K140" s="672"/>
      <c r="L140" s="672"/>
      <c r="M140" s="672"/>
      <c r="N140" s="672"/>
    </row>
    <row r="141" spans="1:15" hidden="1" outlineLevel="1" x14ac:dyDescent="0.25">
      <c r="A141" s="497" t="s">
        <v>285</v>
      </c>
      <c r="B141" s="455" t="s">
        <v>216</v>
      </c>
      <c r="C141" s="496">
        <v>4505.62</v>
      </c>
      <c r="D141" s="495">
        <v>0</v>
      </c>
      <c r="E141" s="492">
        <f t="shared" si="25"/>
        <v>4505.62</v>
      </c>
      <c r="F141" s="494">
        <v>1594194.18</v>
      </c>
      <c r="G141" s="493">
        <v>0</v>
      </c>
      <c r="H141" s="443">
        <f t="shared" si="27"/>
        <v>1594194.18</v>
      </c>
      <c r="J141" s="672"/>
      <c r="K141" s="672"/>
      <c r="L141" s="672"/>
      <c r="M141" s="672"/>
      <c r="N141" s="672"/>
    </row>
    <row r="142" spans="1:15" hidden="1" outlineLevel="1" x14ac:dyDescent="0.25">
      <c r="A142" s="497" t="s">
        <v>285</v>
      </c>
      <c r="B142" s="455" t="s">
        <v>219</v>
      </c>
      <c r="C142" s="496">
        <v>72846.05</v>
      </c>
      <c r="D142" s="495">
        <v>214.84</v>
      </c>
      <c r="E142" s="492">
        <f t="shared" si="25"/>
        <v>73060.89</v>
      </c>
      <c r="F142" s="494">
        <v>24271123.27</v>
      </c>
      <c r="G142" s="493">
        <v>33694.94</v>
      </c>
      <c r="H142" s="443">
        <f t="shared" si="27"/>
        <v>24304818.210000001</v>
      </c>
      <c r="J142" s="672"/>
      <c r="K142" s="672"/>
      <c r="L142" s="672"/>
      <c r="M142" s="672"/>
      <c r="N142" s="672"/>
    </row>
    <row r="143" spans="1:15" hidden="1" outlineLevel="1" x14ac:dyDescent="0.25">
      <c r="A143" s="497" t="s">
        <v>285</v>
      </c>
      <c r="B143" s="455" t="s">
        <v>222</v>
      </c>
      <c r="C143" s="496">
        <v>6486.4</v>
      </c>
      <c r="D143" s="495">
        <v>0</v>
      </c>
      <c r="E143" s="492">
        <f t="shared" si="25"/>
        <v>6486.4</v>
      </c>
      <c r="F143" s="494">
        <v>2835085.22</v>
      </c>
      <c r="G143" s="493">
        <v>0</v>
      </c>
      <c r="H143" s="443">
        <f t="shared" si="27"/>
        <v>2835085.22</v>
      </c>
      <c r="J143" s="672"/>
      <c r="K143" s="672"/>
      <c r="L143" s="672"/>
      <c r="M143" s="672"/>
      <c r="N143" s="672"/>
    </row>
    <row r="144" spans="1:15" hidden="1" outlineLevel="1" x14ac:dyDescent="0.25">
      <c r="A144" s="497" t="s">
        <v>285</v>
      </c>
      <c r="B144" s="455" t="s">
        <v>223</v>
      </c>
      <c r="C144" s="496">
        <v>651.5</v>
      </c>
      <c r="D144" s="495">
        <v>22196.42</v>
      </c>
      <c r="E144" s="492">
        <f t="shared" si="25"/>
        <v>22847.919999999998</v>
      </c>
      <c r="F144" s="494">
        <v>187095.52</v>
      </c>
      <c r="G144" s="493">
        <v>10727708.960000001</v>
      </c>
      <c r="H144" s="443">
        <f t="shared" si="27"/>
        <v>10914804.48</v>
      </c>
      <c r="J144" s="672"/>
      <c r="K144" s="672"/>
      <c r="L144" s="672"/>
      <c r="M144" s="672"/>
      <c r="N144" s="672"/>
    </row>
    <row r="145" spans="1:14" hidden="1" outlineLevel="1" x14ac:dyDescent="0.25">
      <c r="A145" s="497" t="s">
        <v>285</v>
      </c>
      <c r="B145" s="455" t="s">
        <v>231</v>
      </c>
      <c r="C145" s="496">
        <v>3579.49</v>
      </c>
      <c r="D145" s="495">
        <v>3945.46</v>
      </c>
      <c r="E145" s="492">
        <f t="shared" si="25"/>
        <v>7524.95</v>
      </c>
      <c r="F145" s="494">
        <v>1582482.86</v>
      </c>
      <c r="G145" s="493">
        <v>2091190.54</v>
      </c>
      <c r="H145" s="443">
        <f t="shared" si="27"/>
        <v>3673673.4000000004</v>
      </c>
      <c r="J145" s="672"/>
      <c r="K145" s="672"/>
      <c r="L145" s="672"/>
      <c r="M145" s="672"/>
      <c r="N145" s="672"/>
    </row>
    <row r="146" spans="1:14" hidden="1" outlineLevel="1" x14ac:dyDescent="0.25">
      <c r="A146" s="497" t="s">
        <v>285</v>
      </c>
      <c r="B146" s="455" t="s">
        <v>241</v>
      </c>
      <c r="C146" s="496">
        <v>363.44</v>
      </c>
      <c r="D146" s="495">
        <v>0</v>
      </c>
      <c r="E146" s="492">
        <f t="shared" si="25"/>
        <v>363.44</v>
      </c>
      <c r="F146" s="494">
        <v>143585.21</v>
      </c>
      <c r="G146" s="493">
        <v>0</v>
      </c>
      <c r="H146" s="443">
        <f t="shared" si="27"/>
        <v>143585.21</v>
      </c>
      <c r="J146" s="672"/>
      <c r="K146" s="672"/>
      <c r="L146" s="672"/>
      <c r="M146" s="672"/>
      <c r="N146" s="672"/>
    </row>
    <row r="147" spans="1:14" hidden="1" outlineLevel="1" x14ac:dyDescent="0.25">
      <c r="A147" s="497" t="s">
        <v>285</v>
      </c>
      <c r="B147" s="455" t="s">
        <v>242</v>
      </c>
      <c r="C147" s="496">
        <v>11706.71</v>
      </c>
      <c r="D147" s="495">
        <v>967.7</v>
      </c>
      <c r="E147" s="492">
        <f t="shared" si="25"/>
        <v>12674.41</v>
      </c>
      <c r="F147" s="494">
        <v>3056285.8</v>
      </c>
      <c r="G147" s="493">
        <v>327341.67</v>
      </c>
      <c r="H147" s="443">
        <f t="shared" si="27"/>
        <v>3383627.4699999997</v>
      </c>
      <c r="J147" s="672"/>
      <c r="K147" s="672"/>
      <c r="L147" s="672"/>
      <c r="M147" s="672"/>
      <c r="N147" s="672"/>
    </row>
    <row r="148" spans="1:14" hidden="1" outlineLevel="1" x14ac:dyDescent="0.25">
      <c r="A148" s="497" t="s">
        <v>285</v>
      </c>
      <c r="B148" s="455" t="s">
        <v>244</v>
      </c>
      <c r="C148" s="496">
        <v>4331.18</v>
      </c>
      <c r="D148" s="495">
        <v>474.34</v>
      </c>
      <c r="E148" s="492">
        <f t="shared" si="25"/>
        <v>4805.5200000000004</v>
      </c>
      <c r="F148" s="494">
        <v>1966840.17</v>
      </c>
      <c r="G148" s="493">
        <v>199049.25</v>
      </c>
      <c r="H148" s="443">
        <f t="shared" si="27"/>
        <v>2165889.42</v>
      </c>
      <c r="J148" s="672"/>
      <c r="K148" s="672"/>
      <c r="L148" s="672"/>
      <c r="M148" s="672"/>
      <c r="N148" s="672"/>
    </row>
    <row r="149" spans="1:14" hidden="1" outlineLevel="1" x14ac:dyDescent="0.25">
      <c r="A149" s="497" t="s">
        <v>285</v>
      </c>
      <c r="B149" s="455" t="s">
        <v>245</v>
      </c>
      <c r="C149" s="496">
        <v>7791.24</v>
      </c>
      <c r="D149" s="495">
        <v>1266.82</v>
      </c>
      <c r="E149" s="492">
        <f t="shared" si="25"/>
        <v>9058.06</v>
      </c>
      <c r="F149" s="494">
        <v>3142066.42</v>
      </c>
      <c r="G149" s="493">
        <v>461764.71</v>
      </c>
      <c r="H149" s="443">
        <f t="shared" si="27"/>
        <v>3603831.13</v>
      </c>
      <c r="J149" s="672"/>
      <c r="K149" s="672"/>
      <c r="L149" s="672"/>
      <c r="M149" s="672"/>
      <c r="N149" s="672"/>
    </row>
    <row r="150" spans="1:14" hidden="1" outlineLevel="1" x14ac:dyDescent="0.25">
      <c r="A150" s="497" t="s">
        <v>285</v>
      </c>
      <c r="B150" s="455" t="s">
        <v>246</v>
      </c>
      <c r="C150" s="496">
        <v>15922.11</v>
      </c>
      <c r="D150" s="495">
        <v>70.03</v>
      </c>
      <c r="E150" s="492">
        <f t="shared" si="25"/>
        <v>15992.140000000001</v>
      </c>
      <c r="F150" s="494">
        <v>6885225.8600000003</v>
      </c>
      <c r="G150" s="493">
        <v>31629.42</v>
      </c>
      <c r="H150" s="443">
        <f t="shared" si="27"/>
        <v>6916855.2800000003</v>
      </c>
      <c r="J150" s="672"/>
      <c r="K150" s="672"/>
      <c r="L150" s="672"/>
      <c r="M150" s="672"/>
      <c r="N150" s="672"/>
    </row>
    <row r="151" spans="1:14" hidden="1" outlineLevel="1" x14ac:dyDescent="0.25">
      <c r="A151" s="497" t="s">
        <v>285</v>
      </c>
      <c r="B151" s="455" t="s">
        <v>248</v>
      </c>
      <c r="C151" s="496">
        <v>1235.53</v>
      </c>
      <c r="D151" s="495">
        <v>28.64</v>
      </c>
      <c r="E151" s="492">
        <f t="shared" si="25"/>
        <v>1264.17</v>
      </c>
      <c r="F151" s="494">
        <v>507140.37</v>
      </c>
      <c r="G151" s="493">
        <v>8467.07</v>
      </c>
      <c r="H151" s="443">
        <f t="shared" si="27"/>
        <v>515607.44</v>
      </c>
      <c r="J151" s="672"/>
      <c r="K151" s="672"/>
      <c r="L151" s="672"/>
      <c r="M151" s="672"/>
      <c r="N151" s="672"/>
    </row>
    <row r="152" spans="1:14" hidden="1" outlineLevel="1" x14ac:dyDescent="0.25">
      <c r="A152" s="497" t="s">
        <v>285</v>
      </c>
      <c r="B152" s="455" t="s">
        <v>252</v>
      </c>
      <c r="C152" s="496">
        <v>920.73</v>
      </c>
      <c r="D152" s="495">
        <v>305.85000000000002</v>
      </c>
      <c r="E152" s="492">
        <f t="shared" si="25"/>
        <v>1226.58</v>
      </c>
      <c r="F152" s="494">
        <v>400516.43</v>
      </c>
      <c r="G152" s="493">
        <v>129439.5</v>
      </c>
      <c r="H152" s="443">
        <f t="shared" si="27"/>
        <v>529955.92999999993</v>
      </c>
      <c r="J152" s="672"/>
      <c r="K152" s="672"/>
      <c r="L152" s="672"/>
      <c r="M152" s="672"/>
      <c r="N152" s="672"/>
    </row>
    <row r="153" spans="1:14" hidden="1" outlineLevel="1" x14ac:dyDescent="0.25">
      <c r="A153" s="497" t="s">
        <v>285</v>
      </c>
      <c r="B153" s="455" t="s">
        <v>224</v>
      </c>
      <c r="C153" s="496">
        <v>67272.800000000003</v>
      </c>
      <c r="D153" s="495">
        <v>56.34</v>
      </c>
      <c r="E153" s="492">
        <f t="shared" si="25"/>
        <v>67329.14</v>
      </c>
      <c r="F153" s="494">
        <v>20275966.620000001</v>
      </c>
      <c r="G153" s="493">
        <v>19297.8</v>
      </c>
      <c r="H153" s="443">
        <f t="shared" si="27"/>
        <v>20295264.420000002</v>
      </c>
      <c r="J153" s="672"/>
      <c r="K153" s="672"/>
      <c r="L153" s="672"/>
      <c r="M153" s="672"/>
      <c r="N153" s="672"/>
    </row>
    <row r="154" spans="1:14" hidden="1" outlineLevel="1" x14ac:dyDescent="0.25">
      <c r="A154" s="497" t="s">
        <v>285</v>
      </c>
      <c r="B154" s="455" t="s">
        <v>259</v>
      </c>
      <c r="C154" s="496">
        <v>28468.14</v>
      </c>
      <c r="D154" s="495">
        <v>0</v>
      </c>
      <c r="E154" s="492">
        <f t="shared" si="25"/>
        <v>28468.14</v>
      </c>
      <c r="F154" s="494">
        <v>11722204.460000001</v>
      </c>
      <c r="G154" s="493">
        <v>0</v>
      </c>
      <c r="H154" s="443">
        <f t="shared" si="27"/>
        <v>11722204.460000001</v>
      </c>
      <c r="J154" s="672"/>
      <c r="K154" s="672"/>
      <c r="L154" s="672"/>
      <c r="M154" s="672"/>
      <c r="N154" s="672"/>
    </row>
    <row r="155" spans="1:14" s="481" customFormat="1" ht="15" collapsed="1" thickTop="1" thickBot="1" x14ac:dyDescent="0.3">
      <c r="A155" s="628">
        <v>2002</v>
      </c>
      <c r="B155" s="627" t="s">
        <v>403</v>
      </c>
      <c r="C155" s="633">
        <f>SUM(C140:C154)</f>
        <v>228326.63</v>
      </c>
      <c r="D155" s="648">
        <f>SUM(D140:D154)</f>
        <v>29556.769999999993</v>
      </c>
      <c r="E155" s="649">
        <f t="shared" ref="E155:E186" si="28">SUM(C155:D155)</f>
        <v>257883.4</v>
      </c>
      <c r="F155" s="634">
        <f>SUM(F140:F154)</f>
        <v>79544455.349999994</v>
      </c>
      <c r="G155" s="641">
        <f>SUM(G140:G154)</f>
        <v>14043117.180000003</v>
      </c>
      <c r="H155" s="652">
        <f>G155+F155</f>
        <v>93587572.530000001</v>
      </c>
      <c r="I155" s="672">
        <f>+'TAB1.0 Accomplshmnt by District'!E101-C155</f>
        <v>0</v>
      </c>
      <c r="J155" s="672">
        <f>+'TAB1.0 Accomplshmnt by District'!G101-D155</f>
        <v>0</v>
      </c>
      <c r="K155" s="672">
        <f>+'TAB1.0 Accomplshmnt by District'!I101-E155</f>
        <v>0</v>
      </c>
      <c r="L155" s="672">
        <f>+'TAB1.0 Accomplshmnt by District'!J101-F155</f>
        <v>0</v>
      </c>
      <c r="M155" s="672">
        <f>+'TAB1.0 Accomplshmnt by District'!L101-G155</f>
        <v>0</v>
      </c>
      <c r="N155" s="672">
        <f>+'TAB1.0 Accomplshmnt by District'!N101-H155</f>
        <v>0</v>
      </c>
    </row>
    <row r="156" spans="1:14" ht="14.4" hidden="1" outlineLevel="1" thickTop="1" x14ac:dyDescent="0.25">
      <c r="A156" s="497" t="s">
        <v>286</v>
      </c>
      <c r="B156" s="455" t="s">
        <v>214</v>
      </c>
      <c r="C156" s="496">
        <v>4644.72</v>
      </c>
      <c r="D156" s="495">
        <v>1157.27</v>
      </c>
      <c r="E156" s="492">
        <f t="shared" si="28"/>
        <v>5801.99</v>
      </c>
      <c r="F156" s="494">
        <v>1741053.34</v>
      </c>
      <c r="G156" s="493">
        <v>432086.12</v>
      </c>
      <c r="H156" s="443">
        <f t="shared" ref="H156:H169" si="29">+F156+G156</f>
        <v>2173139.46</v>
      </c>
      <c r="J156" s="672"/>
      <c r="K156" s="672"/>
      <c r="L156" s="672"/>
      <c r="M156" s="672"/>
      <c r="N156" s="672"/>
    </row>
    <row r="157" spans="1:14" hidden="1" outlineLevel="1" x14ac:dyDescent="0.25">
      <c r="A157" s="497" t="s">
        <v>286</v>
      </c>
      <c r="B157" s="455" t="s">
        <v>216</v>
      </c>
      <c r="C157" s="496">
        <v>4700.7299999999996</v>
      </c>
      <c r="D157" s="495">
        <v>0</v>
      </c>
      <c r="E157" s="492">
        <f t="shared" si="28"/>
        <v>4700.7299999999996</v>
      </c>
      <c r="F157" s="494">
        <v>1198343.29</v>
      </c>
      <c r="G157" s="493">
        <v>0</v>
      </c>
      <c r="H157" s="443">
        <f t="shared" si="29"/>
        <v>1198343.29</v>
      </c>
      <c r="J157" s="672"/>
      <c r="K157" s="672"/>
      <c r="L157" s="672"/>
      <c r="M157" s="672"/>
      <c r="N157" s="672"/>
    </row>
    <row r="158" spans="1:14" hidden="1" outlineLevel="1" x14ac:dyDescent="0.25">
      <c r="A158" s="497" t="s">
        <v>286</v>
      </c>
      <c r="B158" s="455" t="s">
        <v>219</v>
      </c>
      <c r="C158" s="496">
        <v>131150.62</v>
      </c>
      <c r="D158" s="495">
        <v>1623.2</v>
      </c>
      <c r="E158" s="492">
        <f t="shared" si="28"/>
        <v>132773.82</v>
      </c>
      <c r="F158" s="494">
        <v>45864233.590000004</v>
      </c>
      <c r="G158" s="493">
        <v>601470.06000000006</v>
      </c>
      <c r="H158" s="443">
        <f t="shared" si="29"/>
        <v>46465703.650000006</v>
      </c>
      <c r="J158" s="672"/>
      <c r="K158" s="672"/>
      <c r="L158" s="672"/>
      <c r="M158" s="672"/>
      <c r="N158" s="672"/>
    </row>
    <row r="159" spans="1:14" hidden="1" outlineLevel="1" x14ac:dyDescent="0.25">
      <c r="A159" s="497" t="s">
        <v>286</v>
      </c>
      <c r="B159" s="455" t="s">
        <v>222</v>
      </c>
      <c r="C159" s="496">
        <v>2977.94</v>
      </c>
      <c r="D159" s="495">
        <v>0</v>
      </c>
      <c r="E159" s="492">
        <f t="shared" si="28"/>
        <v>2977.94</v>
      </c>
      <c r="F159" s="494">
        <v>1364205.57</v>
      </c>
      <c r="G159" s="493">
        <v>0</v>
      </c>
      <c r="H159" s="443">
        <f t="shared" si="29"/>
        <v>1364205.57</v>
      </c>
      <c r="J159" s="672"/>
      <c r="K159" s="672"/>
      <c r="L159" s="672"/>
      <c r="M159" s="672"/>
      <c r="N159" s="672"/>
    </row>
    <row r="160" spans="1:14" hidden="1" outlineLevel="1" x14ac:dyDescent="0.25">
      <c r="A160" s="497" t="s">
        <v>286</v>
      </c>
      <c r="B160" s="455" t="s">
        <v>223</v>
      </c>
      <c r="C160" s="496">
        <v>761.66</v>
      </c>
      <c r="D160" s="495">
        <v>15287.3</v>
      </c>
      <c r="E160" s="492">
        <f t="shared" si="28"/>
        <v>16048.96</v>
      </c>
      <c r="F160" s="494">
        <v>201721.48</v>
      </c>
      <c r="G160" s="493">
        <v>7339478.71</v>
      </c>
      <c r="H160" s="443">
        <f t="shared" si="29"/>
        <v>7541200.1900000004</v>
      </c>
      <c r="J160" s="672"/>
      <c r="K160" s="672"/>
      <c r="L160" s="672"/>
      <c r="M160" s="672"/>
      <c r="N160" s="672"/>
    </row>
    <row r="161" spans="1:14" hidden="1" outlineLevel="1" x14ac:dyDescent="0.25">
      <c r="A161" s="497" t="s">
        <v>286</v>
      </c>
      <c r="B161" s="455" t="s">
        <v>231</v>
      </c>
      <c r="C161" s="496">
        <v>1876.88</v>
      </c>
      <c r="D161" s="495">
        <v>2836.48</v>
      </c>
      <c r="E161" s="492">
        <f t="shared" si="28"/>
        <v>4713.3600000000006</v>
      </c>
      <c r="F161" s="494">
        <v>385751.52</v>
      </c>
      <c r="G161" s="493">
        <v>1303812.78</v>
      </c>
      <c r="H161" s="443">
        <f t="shared" si="29"/>
        <v>1689564.3</v>
      </c>
      <c r="J161" s="672"/>
      <c r="K161" s="672"/>
      <c r="L161" s="672"/>
      <c r="M161" s="672"/>
      <c r="N161" s="672"/>
    </row>
    <row r="162" spans="1:14" hidden="1" outlineLevel="1" x14ac:dyDescent="0.25">
      <c r="A162" s="497" t="s">
        <v>286</v>
      </c>
      <c r="B162" s="455" t="s">
        <v>242</v>
      </c>
      <c r="C162" s="496">
        <v>2841.18</v>
      </c>
      <c r="D162" s="495">
        <v>0</v>
      </c>
      <c r="E162" s="492">
        <f t="shared" si="28"/>
        <v>2841.18</v>
      </c>
      <c r="F162" s="494">
        <v>607410.54</v>
      </c>
      <c r="G162" s="493">
        <v>0</v>
      </c>
      <c r="H162" s="443">
        <f t="shared" si="29"/>
        <v>607410.54</v>
      </c>
      <c r="J162" s="672"/>
      <c r="K162" s="672"/>
      <c r="L162" s="672"/>
      <c r="M162" s="672"/>
      <c r="N162" s="672"/>
    </row>
    <row r="163" spans="1:14" hidden="1" outlineLevel="1" x14ac:dyDescent="0.25">
      <c r="A163" s="497" t="s">
        <v>286</v>
      </c>
      <c r="B163" s="455" t="s">
        <v>244</v>
      </c>
      <c r="C163" s="496">
        <v>9312.74</v>
      </c>
      <c r="D163" s="495">
        <v>448.29</v>
      </c>
      <c r="E163" s="492">
        <f t="shared" si="28"/>
        <v>9761.0300000000007</v>
      </c>
      <c r="F163" s="494">
        <v>3153675.74</v>
      </c>
      <c r="G163" s="493">
        <v>194880.86</v>
      </c>
      <c r="H163" s="443">
        <f t="shared" si="29"/>
        <v>3348556.6</v>
      </c>
      <c r="J163" s="672"/>
      <c r="K163" s="672"/>
      <c r="L163" s="672"/>
      <c r="M163" s="672"/>
      <c r="N163" s="672"/>
    </row>
    <row r="164" spans="1:14" hidden="1" outlineLevel="1" x14ac:dyDescent="0.25">
      <c r="A164" s="497" t="s">
        <v>286</v>
      </c>
      <c r="B164" s="455" t="s">
        <v>245</v>
      </c>
      <c r="C164" s="496">
        <v>4603.03</v>
      </c>
      <c r="D164" s="495">
        <v>1342.84</v>
      </c>
      <c r="E164" s="492">
        <f t="shared" si="28"/>
        <v>5945.87</v>
      </c>
      <c r="F164" s="494">
        <v>1441563.24</v>
      </c>
      <c r="G164" s="493">
        <v>606095.64</v>
      </c>
      <c r="H164" s="443">
        <f t="shared" si="29"/>
        <v>2047658.88</v>
      </c>
      <c r="J164" s="672"/>
      <c r="K164" s="672"/>
      <c r="L164" s="672"/>
      <c r="M164" s="672"/>
      <c r="N164" s="672"/>
    </row>
    <row r="165" spans="1:14" hidden="1" outlineLevel="1" x14ac:dyDescent="0.25">
      <c r="A165" s="497" t="s">
        <v>286</v>
      </c>
      <c r="B165" s="455" t="s">
        <v>246</v>
      </c>
      <c r="C165" s="496">
        <v>13631.04</v>
      </c>
      <c r="D165" s="495">
        <v>24.82</v>
      </c>
      <c r="E165" s="492">
        <f t="shared" si="28"/>
        <v>13655.86</v>
      </c>
      <c r="F165" s="494">
        <v>6363583.1200000001</v>
      </c>
      <c r="G165" s="493">
        <v>10830.7</v>
      </c>
      <c r="H165" s="443">
        <f t="shared" si="29"/>
        <v>6374413.8200000003</v>
      </c>
      <c r="J165" s="672"/>
      <c r="K165" s="672"/>
      <c r="L165" s="672"/>
      <c r="M165" s="672"/>
      <c r="N165" s="672"/>
    </row>
    <row r="166" spans="1:14" hidden="1" outlineLevel="1" x14ac:dyDescent="0.25">
      <c r="A166" s="497" t="s">
        <v>286</v>
      </c>
      <c r="B166" s="455" t="s">
        <v>248</v>
      </c>
      <c r="C166" s="496">
        <v>4720.8</v>
      </c>
      <c r="D166" s="495">
        <v>0</v>
      </c>
      <c r="E166" s="492">
        <f t="shared" si="28"/>
        <v>4720.8</v>
      </c>
      <c r="F166" s="494">
        <v>1606393.95</v>
      </c>
      <c r="G166" s="493">
        <v>0</v>
      </c>
      <c r="H166" s="443">
        <f t="shared" si="29"/>
        <v>1606393.95</v>
      </c>
      <c r="J166" s="672"/>
      <c r="K166" s="672"/>
      <c r="L166" s="672"/>
      <c r="M166" s="672"/>
      <c r="N166" s="672"/>
    </row>
    <row r="167" spans="1:14" hidden="1" outlineLevel="1" x14ac:dyDescent="0.25">
      <c r="A167" s="497" t="s">
        <v>286</v>
      </c>
      <c r="B167" s="455" t="s">
        <v>252</v>
      </c>
      <c r="C167" s="496">
        <v>3455.91</v>
      </c>
      <c r="D167" s="495">
        <v>1586.85</v>
      </c>
      <c r="E167" s="492">
        <f t="shared" si="28"/>
        <v>5042.76</v>
      </c>
      <c r="F167" s="494">
        <v>1094768.1200000001</v>
      </c>
      <c r="G167" s="493">
        <v>503435.56</v>
      </c>
      <c r="H167" s="443">
        <f t="shared" si="29"/>
        <v>1598203.6800000002</v>
      </c>
      <c r="J167" s="672"/>
      <c r="K167" s="672"/>
      <c r="L167" s="672"/>
      <c r="M167" s="672"/>
      <c r="N167" s="672"/>
    </row>
    <row r="168" spans="1:14" hidden="1" outlineLevel="1" x14ac:dyDescent="0.25">
      <c r="A168" s="497" t="s">
        <v>286</v>
      </c>
      <c r="B168" s="455" t="s">
        <v>224</v>
      </c>
      <c r="C168" s="496">
        <v>58779.56</v>
      </c>
      <c r="D168" s="495">
        <v>3.1</v>
      </c>
      <c r="E168" s="492">
        <f t="shared" si="28"/>
        <v>58782.659999999996</v>
      </c>
      <c r="F168" s="494">
        <v>18232977.25</v>
      </c>
      <c r="G168" s="493">
        <v>882.04</v>
      </c>
      <c r="H168" s="443">
        <f t="shared" si="29"/>
        <v>18233859.289999999</v>
      </c>
      <c r="J168" s="672"/>
      <c r="K168" s="672"/>
      <c r="L168" s="672"/>
      <c r="M168" s="672"/>
      <c r="N168" s="672"/>
    </row>
    <row r="169" spans="1:14" hidden="1" outlineLevel="1" x14ac:dyDescent="0.25">
      <c r="A169" s="497" t="s">
        <v>286</v>
      </c>
      <c r="B169" s="455" t="s">
        <v>259</v>
      </c>
      <c r="C169" s="496">
        <v>10180.18</v>
      </c>
      <c r="D169" s="495">
        <v>0</v>
      </c>
      <c r="E169" s="492">
        <f t="shared" si="28"/>
        <v>10180.18</v>
      </c>
      <c r="F169" s="494">
        <v>3561150.25</v>
      </c>
      <c r="G169" s="493">
        <v>0</v>
      </c>
      <c r="H169" s="443">
        <f t="shared" si="29"/>
        <v>3561150.25</v>
      </c>
      <c r="J169" s="672"/>
      <c r="K169" s="672"/>
      <c r="L169" s="672"/>
      <c r="M169" s="672"/>
      <c r="N169" s="672"/>
    </row>
    <row r="170" spans="1:14" s="481" customFormat="1" ht="15" collapsed="1" thickTop="1" thickBot="1" x14ac:dyDescent="0.3">
      <c r="A170" s="628">
        <v>2003</v>
      </c>
      <c r="B170" s="627" t="s">
        <v>403</v>
      </c>
      <c r="C170" s="633">
        <f>SUM(C156:C169)</f>
        <v>253636.99</v>
      </c>
      <c r="D170" s="648">
        <f>SUM(D156:D169)</f>
        <v>24310.149999999998</v>
      </c>
      <c r="E170" s="649">
        <f t="shared" si="28"/>
        <v>277947.14</v>
      </c>
      <c r="F170" s="634">
        <f>SUM(F156:F169)</f>
        <v>86816831</v>
      </c>
      <c r="G170" s="641">
        <f>SUM(G156:G169)</f>
        <v>10992972.469999999</v>
      </c>
      <c r="H170" s="652">
        <f>G170+F170</f>
        <v>97809803.469999999</v>
      </c>
      <c r="I170" s="672">
        <f>+'TAB1.0 Accomplshmnt by District'!E111-C170</f>
        <v>-104.94000000000233</v>
      </c>
      <c r="J170" s="672">
        <f>+'TAB1.0 Accomplshmnt by District'!G111-D170</f>
        <v>-19.999999999996362</v>
      </c>
      <c r="K170" s="672">
        <f>+'TAB1.0 Accomplshmnt by District'!I111-E170</f>
        <v>-124.94000000006054</v>
      </c>
      <c r="L170" s="672">
        <f>+'TAB1.0 Accomplshmnt by District'!J111-F170</f>
        <v>58353.690000012517</v>
      </c>
      <c r="M170" s="672">
        <f>+'TAB1.0 Accomplshmnt by District'!L111-G170</f>
        <v>-4014.0399999991059</v>
      </c>
      <c r="N170" s="672">
        <f>+'TAB1.0 Accomplshmnt by District'!N111-H170</f>
        <v>54339.65000000596</v>
      </c>
    </row>
    <row r="171" spans="1:14" ht="14.4" hidden="1" outlineLevel="1" thickTop="1" x14ac:dyDescent="0.25">
      <c r="A171" s="497" t="s">
        <v>287</v>
      </c>
      <c r="B171" s="455" t="s">
        <v>214</v>
      </c>
      <c r="C171" s="496">
        <v>11059.9</v>
      </c>
      <c r="D171" s="495">
        <v>1085.76</v>
      </c>
      <c r="E171" s="650">
        <f t="shared" si="28"/>
        <v>12145.66</v>
      </c>
      <c r="F171" s="494">
        <v>4417571.57</v>
      </c>
      <c r="G171" s="493">
        <v>402319.35999999999</v>
      </c>
      <c r="H171" s="443">
        <f t="shared" ref="H171:H186" si="30">SUM(F171:G171)</f>
        <v>4819890.9300000006</v>
      </c>
      <c r="J171" s="672"/>
      <c r="K171" s="672"/>
      <c r="L171" s="672"/>
      <c r="M171" s="672"/>
      <c r="N171" s="672"/>
    </row>
    <row r="172" spans="1:14" ht="14.4" hidden="1" outlineLevel="1" thickTop="1" x14ac:dyDescent="0.25">
      <c r="A172" s="497" t="s">
        <v>287</v>
      </c>
      <c r="B172" s="455" t="s">
        <v>216</v>
      </c>
      <c r="C172" s="496">
        <v>2832.33</v>
      </c>
      <c r="D172" s="495">
        <v>0</v>
      </c>
      <c r="E172" s="650">
        <f t="shared" si="28"/>
        <v>2832.33</v>
      </c>
      <c r="F172" s="494">
        <v>1138126.46</v>
      </c>
      <c r="G172" s="493">
        <v>0</v>
      </c>
      <c r="H172" s="443">
        <f t="shared" si="30"/>
        <v>1138126.46</v>
      </c>
      <c r="J172" s="672"/>
      <c r="K172" s="672"/>
      <c r="L172" s="672"/>
      <c r="M172" s="672"/>
      <c r="N172" s="672"/>
    </row>
    <row r="173" spans="1:14" ht="14.4" hidden="1" outlineLevel="1" thickTop="1" x14ac:dyDescent="0.25">
      <c r="A173" s="497" t="s">
        <v>287</v>
      </c>
      <c r="B173" s="455" t="s">
        <v>219</v>
      </c>
      <c r="C173" s="496">
        <v>86208.68</v>
      </c>
      <c r="D173" s="495">
        <v>981.64</v>
      </c>
      <c r="E173" s="650">
        <f t="shared" si="28"/>
        <v>87190.319999999992</v>
      </c>
      <c r="F173" s="494">
        <v>29863806.25</v>
      </c>
      <c r="G173" s="493">
        <v>255983.72</v>
      </c>
      <c r="H173" s="443">
        <f t="shared" si="30"/>
        <v>30119789.969999999</v>
      </c>
      <c r="J173" s="672"/>
      <c r="K173" s="672"/>
      <c r="L173" s="672"/>
      <c r="M173" s="672"/>
      <c r="N173" s="672"/>
    </row>
    <row r="174" spans="1:14" ht="14.4" hidden="1" outlineLevel="1" thickTop="1" x14ac:dyDescent="0.25">
      <c r="A174" s="497" t="s">
        <v>287</v>
      </c>
      <c r="B174" s="455" t="s">
        <v>222</v>
      </c>
      <c r="C174" s="496">
        <v>2889.44</v>
      </c>
      <c r="D174" s="495">
        <v>0</v>
      </c>
      <c r="E174" s="650">
        <f t="shared" si="28"/>
        <v>2889.44</v>
      </c>
      <c r="F174" s="494">
        <v>1135375.73</v>
      </c>
      <c r="G174" s="493">
        <v>0</v>
      </c>
      <c r="H174" s="443">
        <f t="shared" si="30"/>
        <v>1135375.73</v>
      </c>
      <c r="J174" s="672"/>
      <c r="K174" s="672"/>
      <c r="L174" s="672"/>
      <c r="M174" s="672"/>
      <c r="N174" s="672"/>
    </row>
    <row r="175" spans="1:14" ht="14.4" hidden="1" outlineLevel="1" thickTop="1" x14ac:dyDescent="0.25">
      <c r="A175" s="497" t="s">
        <v>287</v>
      </c>
      <c r="B175" s="455" t="s">
        <v>223</v>
      </c>
      <c r="C175" s="496">
        <v>1041.81</v>
      </c>
      <c r="D175" s="495">
        <v>21382.03</v>
      </c>
      <c r="E175" s="650">
        <f t="shared" si="28"/>
        <v>22423.84</v>
      </c>
      <c r="F175" s="494">
        <v>445344.24</v>
      </c>
      <c r="G175" s="493">
        <v>9979783</v>
      </c>
      <c r="H175" s="443">
        <f t="shared" si="30"/>
        <v>10425127.24</v>
      </c>
      <c r="J175" s="672"/>
      <c r="K175" s="672"/>
      <c r="L175" s="672"/>
      <c r="M175" s="672"/>
      <c r="N175" s="672"/>
    </row>
    <row r="176" spans="1:14" ht="14.4" hidden="1" outlineLevel="1" thickTop="1" x14ac:dyDescent="0.25">
      <c r="A176" s="497" t="s">
        <v>287</v>
      </c>
      <c r="B176" s="455" t="s">
        <v>231</v>
      </c>
      <c r="C176" s="496">
        <v>29.39</v>
      </c>
      <c r="D176" s="495">
        <v>6512.48</v>
      </c>
      <c r="E176" s="650">
        <f t="shared" si="28"/>
        <v>6541.87</v>
      </c>
      <c r="F176" s="494">
        <v>5545.28</v>
      </c>
      <c r="G176" s="493">
        <v>2888238.01</v>
      </c>
      <c r="H176" s="443">
        <f t="shared" si="30"/>
        <v>2893783.2899999996</v>
      </c>
      <c r="J176" s="672"/>
      <c r="K176" s="672"/>
      <c r="L176" s="672"/>
      <c r="M176" s="672"/>
      <c r="N176" s="672"/>
    </row>
    <row r="177" spans="1:14" ht="14.4" hidden="1" outlineLevel="1" thickTop="1" x14ac:dyDescent="0.25">
      <c r="A177" s="497" t="s">
        <v>287</v>
      </c>
      <c r="B177" s="455" t="s">
        <v>238</v>
      </c>
      <c r="C177" s="496">
        <v>0</v>
      </c>
      <c r="D177" s="495">
        <v>0</v>
      </c>
      <c r="E177" s="650">
        <f t="shared" si="28"/>
        <v>0</v>
      </c>
      <c r="F177" s="494">
        <v>0</v>
      </c>
      <c r="G177" s="493">
        <v>0</v>
      </c>
      <c r="H177" s="443">
        <f t="shared" si="30"/>
        <v>0</v>
      </c>
      <c r="J177" s="672"/>
      <c r="K177" s="672"/>
      <c r="L177" s="672"/>
      <c r="M177" s="672"/>
      <c r="N177" s="672"/>
    </row>
    <row r="178" spans="1:14" ht="14.4" hidden="1" outlineLevel="1" thickTop="1" x14ac:dyDescent="0.25">
      <c r="A178" s="497" t="s">
        <v>287</v>
      </c>
      <c r="B178" s="455" t="s">
        <v>239</v>
      </c>
      <c r="C178" s="496">
        <v>0</v>
      </c>
      <c r="D178" s="495">
        <v>1246.98</v>
      </c>
      <c r="E178" s="650">
        <f t="shared" si="28"/>
        <v>1246.98</v>
      </c>
      <c r="F178" s="494">
        <v>0</v>
      </c>
      <c r="G178" s="493">
        <v>394007.34</v>
      </c>
      <c r="H178" s="443">
        <f t="shared" si="30"/>
        <v>394007.34</v>
      </c>
      <c r="J178" s="672"/>
      <c r="K178" s="672"/>
      <c r="L178" s="672"/>
      <c r="M178" s="672"/>
      <c r="N178" s="672"/>
    </row>
    <row r="179" spans="1:14" ht="14.4" hidden="1" outlineLevel="1" thickTop="1" x14ac:dyDescent="0.25">
      <c r="A179" s="497" t="s">
        <v>287</v>
      </c>
      <c r="B179" s="455" t="s">
        <v>242</v>
      </c>
      <c r="C179" s="496">
        <v>2181.2199999999998</v>
      </c>
      <c r="D179" s="495">
        <v>0</v>
      </c>
      <c r="E179" s="650">
        <f t="shared" si="28"/>
        <v>2181.2199999999998</v>
      </c>
      <c r="F179" s="494">
        <v>385164.02</v>
      </c>
      <c r="G179" s="493">
        <v>0</v>
      </c>
      <c r="H179" s="443">
        <f t="shared" si="30"/>
        <v>385164.02</v>
      </c>
      <c r="J179" s="672"/>
      <c r="K179" s="672"/>
      <c r="L179" s="672"/>
      <c r="M179" s="672"/>
      <c r="N179" s="672"/>
    </row>
    <row r="180" spans="1:14" ht="14.4" hidden="1" outlineLevel="1" thickTop="1" x14ac:dyDescent="0.25">
      <c r="A180" s="497" t="s">
        <v>287</v>
      </c>
      <c r="B180" s="455" t="s">
        <v>244</v>
      </c>
      <c r="C180" s="496">
        <v>3932.75</v>
      </c>
      <c r="D180" s="495">
        <v>0</v>
      </c>
      <c r="E180" s="650">
        <f t="shared" si="28"/>
        <v>3932.75</v>
      </c>
      <c r="F180" s="494">
        <v>1489093.64</v>
      </c>
      <c r="G180" s="493">
        <v>0</v>
      </c>
      <c r="H180" s="443">
        <f t="shared" si="30"/>
        <v>1489093.64</v>
      </c>
      <c r="J180" s="672"/>
      <c r="K180" s="672"/>
      <c r="L180" s="672"/>
      <c r="M180" s="672"/>
      <c r="N180" s="672"/>
    </row>
    <row r="181" spans="1:14" ht="14.4" hidden="1" outlineLevel="1" thickTop="1" x14ac:dyDescent="0.25">
      <c r="A181" s="497" t="s">
        <v>287</v>
      </c>
      <c r="B181" s="455" t="s">
        <v>245</v>
      </c>
      <c r="C181" s="496">
        <v>3728.5</v>
      </c>
      <c r="D181" s="495">
        <v>845</v>
      </c>
      <c r="E181" s="650">
        <f t="shared" si="28"/>
        <v>4573.5</v>
      </c>
      <c r="F181" s="494">
        <v>1041781.69</v>
      </c>
      <c r="G181" s="493">
        <v>222287.03</v>
      </c>
      <c r="H181" s="443">
        <f t="shared" si="30"/>
        <v>1264068.72</v>
      </c>
      <c r="J181" s="672"/>
      <c r="K181" s="672"/>
      <c r="L181" s="672"/>
      <c r="M181" s="672"/>
      <c r="N181" s="672"/>
    </row>
    <row r="182" spans="1:14" ht="14.4" hidden="1" outlineLevel="1" thickTop="1" x14ac:dyDescent="0.25">
      <c r="A182" s="497" t="s">
        <v>287</v>
      </c>
      <c r="B182" s="455" t="s">
        <v>246</v>
      </c>
      <c r="C182" s="496">
        <v>15270.89</v>
      </c>
      <c r="D182" s="495">
        <v>0</v>
      </c>
      <c r="E182" s="650">
        <f t="shared" si="28"/>
        <v>15270.89</v>
      </c>
      <c r="F182" s="494">
        <v>6747867.9699999997</v>
      </c>
      <c r="G182" s="493">
        <v>0</v>
      </c>
      <c r="H182" s="443">
        <f t="shared" si="30"/>
        <v>6747867.9699999997</v>
      </c>
      <c r="J182" s="672"/>
      <c r="K182" s="672"/>
      <c r="L182" s="672"/>
      <c r="M182" s="672"/>
      <c r="N182" s="672"/>
    </row>
    <row r="183" spans="1:14" ht="14.4" hidden="1" outlineLevel="1" thickTop="1" x14ac:dyDescent="0.25">
      <c r="A183" s="497" t="s">
        <v>287</v>
      </c>
      <c r="B183" s="455" t="s">
        <v>248</v>
      </c>
      <c r="C183" s="496">
        <v>5405.22</v>
      </c>
      <c r="D183" s="495">
        <v>0</v>
      </c>
      <c r="E183" s="650">
        <f t="shared" si="28"/>
        <v>5405.22</v>
      </c>
      <c r="F183" s="494">
        <v>2255602.11</v>
      </c>
      <c r="G183" s="493">
        <v>0</v>
      </c>
      <c r="H183" s="443">
        <f t="shared" si="30"/>
        <v>2255602.11</v>
      </c>
      <c r="J183" s="672"/>
      <c r="K183" s="672"/>
      <c r="L183" s="672"/>
      <c r="M183" s="672"/>
      <c r="N183" s="672"/>
    </row>
    <row r="184" spans="1:14" ht="14.4" hidden="1" outlineLevel="1" thickTop="1" x14ac:dyDescent="0.25">
      <c r="A184" s="497" t="s">
        <v>287</v>
      </c>
      <c r="B184" s="455" t="s">
        <v>252</v>
      </c>
      <c r="C184" s="496">
        <v>883.78</v>
      </c>
      <c r="D184" s="495">
        <v>204.83</v>
      </c>
      <c r="E184" s="650">
        <f t="shared" si="28"/>
        <v>1088.6099999999999</v>
      </c>
      <c r="F184" s="494">
        <v>259870.3</v>
      </c>
      <c r="G184" s="493">
        <v>65128.77</v>
      </c>
      <c r="H184" s="443">
        <f t="shared" si="30"/>
        <v>324999.07</v>
      </c>
      <c r="J184" s="672"/>
      <c r="K184" s="672"/>
      <c r="L184" s="672"/>
      <c r="M184" s="672"/>
      <c r="N184" s="672"/>
    </row>
    <row r="185" spans="1:14" ht="14.4" hidden="1" outlineLevel="1" thickTop="1" x14ac:dyDescent="0.25">
      <c r="A185" s="497" t="s">
        <v>287</v>
      </c>
      <c r="B185" s="455" t="s">
        <v>224</v>
      </c>
      <c r="C185" s="496">
        <v>70477.36</v>
      </c>
      <c r="D185" s="495">
        <v>261.69</v>
      </c>
      <c r="E185" s="650">
        <f t="shared" si="28"/>
        <v>70739.05</v>
      </c>
      <c r="F185" s="494">
        <v>19203324.890000001</v>
      </c>
      <c r="G185" s="493">
        <v>52702.31</v>
      </c>
      <c r="H185" s="443">
        <f t="shared" si="30"/>
        <v>19256027.199999999</v>
      </c>
      <c r="J185" s="672"/>
      <c r="K185" s="672"/>
      <c r="L185" s="672"/>
      <c r="M185" s="672"/>
      <c r="N185" s="672"/>
    </row>
    <row r="186" spans="1:14" ht="14.4" hidden="1" outlineLevel="1" thickTop="1" x14ac:dyDescent="0.25">
      <c r="A186" s="497" t="s">
        <v>287</v>
      </c>
      <c r="B186" s="455" t="s">
        <v>259</v>
      </c>
      <c r="C186" s="496">
        <v>34933.83</v>
      </c>
      <c r="D186" s="495">
        <v>0</v>
      </c>
      <c r="E186" s="650">
        <f t="shared" si="28"/>
        <v>34933.83</v>
      </c>
      <c r="F186" s="494">
        <v>13312578.039999999</v>
      </c>
      <c r="G186" s="493">
        <v>0</v>
      </c>
      <c r="H186" s="443">
        <f t="shared" si="30"/>
        <v>13312578.039999999</v>
      </c>
      <c r="J186" s="672"/>
      <c r="K186" s="672"/>
      <c r="L186" s="672"/>
      <c r="M186" s="672"/>
      <c r="N186" s="672"/>
    </row>
    <row r="187" spans="1:14" s="481" customFormat="1" ht="15" collapsed="1" thickTop="1" thickBot="1" x14ac:dyDescent="0.3">
      <c r="A187" s="628">
        <v>2004</v>
      </c>
      <c r="B187" s="627" t="s">
        <v>403</v>
      </c>
      <c r="C187" s="633">
        <f>SUM(C171:C186)</f>
        <v>240875.09999999998</v>
      </c>
      <c r="D187" s="648">
        <f>SUM(D171:D186)</f>
        <v>32520.41</v>
      </c>
      <c r="E187" s="649">
        <f t="shared" ref="E187:E218" si="31">SUM(C187:D187)</f>
        <v>273395.50999999995</v>
      </c>
      <c r="F187" s="634">
        <f>SUM(F171:F186)</f>
        <v>81701052.189999998</v>
      </c>
      <c r="G187" s="641">
        <f>SUM(G171:G186)</f>
        <v>14260449.539999999</v>
      </c>
      <c r="H187" s="652">
        <f>G187+F187</f>
        <v>95961501.729999989</v>
      </c>
      <c r="I187" s="672">
        <f>+'TAB1.0 Accomplshmnt by District'!E121-C187</f>
        <v>-1489.3599999999569</v>
      </c>
      <c r="J187" s="672">
        <f>+'TAB1.0 Accomplshmnt by District'!G121-D187</f>
        <v>-97.159999999999854</v>
      </c>
      <c r="K187" s="672">
        <f>+'TAB1.0 Accomplshmnt by District'!I121-E187</f>
        <v>-1586.5200000000186</v>
      </c>
      <c r="L187" s="672">
        <f>+'TAB1.0 Accomplshmnt by District'!J121-F187</f>
        <v>-596748.65999999642</v>
      </c>
      <c r="M187" s="672">
        <f>+'TAB1.0 Accomplshmnt by District'!L121-G187</f>
        <v>-44031.179999997839</v>
      </c>
      <c r="N187" s="672">
        <f>+'TAB1.0 Accomplshmnt by District'!N121-H187</f>
        <v>-640779.83999998868</v>
      </c>
    </row>
    <row r="188" spans="1:14" ht="14.4" hidden="1" outlineLevel="1" thickTop="1" x14ac:dyDescent="0.25">
      <c r="A188" s="497" t="s">
        <v>288</v>
      </c>
      <c r="B188" s="455" t="s">
        <v>214</v>
      </c>
      <c r="C188" s="496">
        <v>3498.04</v>
      </c>
      <c r="D188" s="495">
        <v>11.56</v>
      </c>
      <c r="E188" s="492">
        <f t="shared" si="31"/>
        <v>3509.6</v>
      </c>
      <c r="F188" s="494">
        <v>1380487.18</v>
      </c>
      <c r="G188" s="493">
        <v>4825.01</v>
      </c>
      <c r="H188" s="443">
        <f t="shared" ref="H188:H203" si="32">SUM(F188:G188)</f>
        <v>1385312.19</v>
      </c>
      <c r="J188" s="672"/>
      <c r="K188" s="672"/>
      <c r="L188" s="672"/>
      <c r="M188" s="672"/>
      <c r="N188" s="672"/>
    </row>
    <row r="189" spans="1:14" ht="14.4" hidden="1" outlineLevel="1" thickTop="1" x14ac:dyDescent="0.25">
      <c r="A189" s="497" t="s">
        <v>288</v>
      </c>
      <c r="B189" s="455" t="s">
        <v>216</v>
      </c>
      <c r="C189" s="496">
        <v>2210.66</v>
      </c>
      <c r="D189" s="495">
        <v>0</v>
      </c>
      <c r="E189" s="492">
        <f t="shared" si="31"/>
        <v>2210.66</v>
      </c>
      <c r="F189" s="494">
        <v>712454.46</v>
      </c>
      <c r="G189" s="493">
        <v>0</v>
      </c>
      <c r="H189" s="443">
        <f t="shared" si="32"/>
        <v>712454.46</v>
      </c>
      <c r="J189" s="672"/>
      <c r="K189" s="672"/>
      <c r="L189" s="672"/>
      <c r="M189" s="672"/>
      <c r="N189" s="672"/>
    </row>
    <row r="190" spans="1:14" ht="14.4" hidden="1" outlineLevel="1" thickTop="1" x14ac:dyDescent="0.25">
      <c r="A190" s="497" t="s">
        <v>288</v>
      </c>
      <c r="B190" s="455" t="s">
        <v>219</v>
      </c>
      <c r="C190" s="496">
        <v>94211.13</v>
      </c>
      <c r="D190" s="495">
        <v>778.12</v>
      </c>
      <c r="E190" s="492">
        <f t="shared" si="31"/>
        <v>94989.25</v>
      </c>
      <c r="F190" s="494">
        <v>27411993.719999999</v>
      </c>
      <c r="G190" s="493">
        <v>158268.73000000001</v>
      </c>
      <c r="H190" s="443">
        <f t="shared" si="32"/>
        <v>27570262.449999999</v>
      </c>
      <c r="J190" s="672"/>
      <c r="K190" s="672"/>
      <c r="L190" s="672"/>
      <c r="M190" s="672"/>
      <c r="N190" s="672"/>
    </row>
    <row r="191" spans="1:14" ht="14.4" hidden="1" outlineLevel="1" thickTop="1" x14ac:dyDescent="0.25">
      <c r="A191" s="497" t="s">
        <v>288</v>
      </c>
      <c r="B191" s="455" t="s">
        <v>222</v>
      </c>
      <c r="C191" s="496">
        <v>3606.72</v>
      </c>
      <c r="D191" s="495">
        <v>0</v>
      </c>
      <c r="E191" s="492">
        <f t="shared" si="31"/>
        <v>3606.72</v>
      </c>
      <c r="F191" s="494">
        <v>1630683.59</v>
      </c>
      <c r="G191" s="493">
        <v>0</v>
      </c>
      <c r="H191" s="443">
        <f t="shared" si="32"/>
        <v>1630683.59</v>
      </c>
      <c r="J191" s="672"/>
      <c r="K191" s="672"/>
      <c r="L191" s="672"/>
      <c r="M191" s="672"/>
      <c r="N191" s="672"/>
    </row>
    <row r="192" spans="1:14" ht="14.4" hidden="1" outlineLevel="1" thickTop="1" x14ac:dyDescent="0.25">
      <c r="A192" s="497" t="s">
        <v>288</v>
      </c>
      <c r="B192" s="455" t="s">
        <v>223</v>
      </c>
      <c r="C192" s="496">
        <v>376.55</v>
      </c>
      <c r="D192" s="495">
        <v>28066.14</v>
      </c>
      <c r="E192" s="492">
        <f t="shared" si="31"/>
        <v>28442.69</v>
      </c>
      <c r="F192" s="494">
        <v>93269.96</v>
      </c>
      <c r="G192" s="493">
        <v>15798966.82</v>
      </c>
      <c r="H192" s="443">
        <f t="shared" si="32"/>
        <v>15892236.780000001</v>
      </c>
      <c r="J192" s="672"/>
      <c r="K192" s="672"/>
      <c r="L192" s="672"/>
      <c r="M192" s="672"/>
      <c r="N192" s="672"/>
    </row>
    <row r="193" spans="1:14" ht="14.4" hidden="1" outlineLevel="1" thickTop="1" x14ac:dyDescent="0.25">
      <c r="A193" s="497" t="s">
        <v>288</v>
      </c>
      <c r="B193" s="455" t="s">
        <v>231</v>
      </c>
      <c r="C193" s="496">
        <v>11.93</v>
      </c>
      <c r="D193" s="495">
        <v>4876.62</v>
      </c>
      <c r="E193" s="492">
        <f t="shared" si="31"/>
        <v>4888.55</v>
      </c>
      <c r="F193" s="494">
        <v>3987.07</v>
      </c>
      <c r="G193" s="493">
        <v>2344272.19</v>
      </c>
      <c r="H193" s="443">
        <f t="shared" si="32"/>
        <v>2348259.2599999998</v>
      </c>
      <c r="J193" s="672"/>
      <c r="K193" s="672"/>
      <c r="L193" s="672"/>
      <c r="M193" s="672"/>
      <c r="N193" s="672"/>
    </row>
    <row r="194" spans="1:14" ht="14.4" hidden="1" outlineLevel="1" thickTop="1" x14ac:dyDescent="0.25">
      <c r="A194" s="497" t="s">
        <v>288</v>
      </c>
      <c r="B194" s="455" t="s">
        <v>238</v>
      </c>
      <c r="C194" s="496">
        <v>0</v>
      </c>
      <c r="D194" s="495">
        <v>0</v>
      </c>
      <c r="E194" s="492">
        <f t="shared" si="31"/>
        <v>0</v>
      </c>
      <c r="F194" s="494">
        <v>0</v>
      </c>
      <c r="G194" s="493">
        <v>0</v>
      </c>
      <c r="H194" s="443">
        <f t="shared" si="32"/>
        <v>0</v>
      </c>
      <c r="J194" s="672"/>
      <c r="K194" s="672"/>
      <c r="L194" s="672"/>
      <c r="M194" s="672"/>
      <c r="N194" s="672"/>
    </row>
    <row r="195" spans="1:14" ht="14.4" hidden="1" outlineLevel="1" thickTop="1" x14ac:dyDescent="0.25">
      <c r="A195" s="497" t="s">
        <v>288</v>
      </c>
      <c r="B195" s="455" t="s">
        <v>239</v>
      </c>
      <c r="C195" s="496">
        <v>0</v>
      </c>
      <c r="D195" s="495">
        <v>1396.31</v>
      </c>
      <c r="E195" s="492">
        <f t="shared" si="31"/>
        <v>1396.31</v>
      </c>
      <c r="F195" s="494">
        <v>0</v>
      </c>
      <c r="G195" s="493">
        <v>200123.2</v>
      </c>
      <c r="H195" s="443">
        <f t="shared" si="32"/>
        <v>200123.2</v>
      </c>
      <c r="J195" s="672"/>
      <c r="K195" s="672"/>
      <c r="L195" s="672"/>
      <c r="M195" s="672"/>
      <c r="N195" s="672"/>
    </row>
    <row r="196" spans="1:14" ht="14.4" hidden="1" outlineLevel="1" thickTop="1" x14ac:dyDescent="0.25">
      <c r="A196" s="497" t="s">
        <v>288</v>
      </c>
      <c r="B196" s="455" t="s">
        <v>242</v>
      </c>
      <c r="C196" s="496">
        <v>17350.37</v>
      </c>
      <c r="D196" s="495">
        <v>4440.1099999999997</v>
      </c>
      <c r="E196" s="492">
        <f t="shared" si="31"/>
        <v>21790.48</v>
      </c>
      <c r="F196" s="494">
        <v>3442189.34</v>
      </c>
      <c r="G196" s="493">
        <v>753611.27</v>
      </c>
      <c r="H196" s="443">
        <f t="shared" si="32"/>
        <v>4195800.6099999994</v>
      </c>
      <c r="J196" s="672"/>
      <c r="K196" s="672"/>
      <c r="L196" s="672"/>
      <c r="M196" s="672"/>
      <c r="N196" s="672"/>
    </row>
    <row r="197" spans="1:14" ht="14.4" hidden="1" outlineLevel="1" thickTop="1" x14ac:dyDescent="0.25">
      <c r="A197" s="497" t="s">
        <v>288</v>
      </c>
      <c r="B197" s="455" t="s">
        <v>244</v>
      </c>
      <c r="C197" s="496">
        <v>12247.13</v>
      </c>
      <c r="D197" s="495">
        <v>0</v>
      </c>
      <c r="E197" s="492">
        <f t="shared" si="31"/>
        <v>12247.13</v>
      </c>
      <c r="F197" s="494">
        <v>4747610.54</v>
      </c>
      <c r="G197" s="493">
        <v>0</v>
      </c>
      <c r="H197" s="443">
        <f t="shared" si="32"/>
        <v>4747610.54</v>
      </c>
      <c r="J197" s="672"/>
      <c r="K197" s="672"/>
      <c r="L197" s="672"/>
      <c r="M197" s="672"/>
      <c r="N197" s="672"/>
    </row>
    <row r="198" spans="1:14" ht="14.4" hidden="1" outlineLevel="1" thickTop="1" x14ac:dyDescent="0.25">
      <c r="A198" s="497" t="s">
        <v>288</v>
      </c>
      <c r="B198" s="455" t="s">
        <v>245</v>
      </c>
      <c r="C198" s="496">
        <v>8259.5300000000007</v>
      </c>
      <c r="D198" s="495">
        <v>2519.25</v>
      </c>
      <c r="E198" s="492">
        <f t="shared" si="31"/>
        <v>10778.78</v>
      </c>
      <c r="F198" s="494">
        <v>2792571.06</v>
      </c>
      <c r="G198" s="493">
        <v>816589.6</v>
      </c>
      <c r="H198" s="443">
        <f t="shared" si="32"/>
        <v>3609160.66</v>
      </c>
      <c r="J198" s="672"/>
      <c r="K198" s="672"/>
      <c r="L198" s="672"/>
      <c r="M198" s="672"/>
      <c r="N198" s="672"/>
    </row>
    <row r="199" spans="1:14" ht="14.4" hidden="1" outlineLevel="1" thickTop="1" x14ac:dyDescent="0.25">
      <c r="A199" s="497" t="s">
        <v>288</v>
      </c>
      <c r="B199" s="455" t="s">
        <v>246</v>
      </c>
      <c r="C199" s="496">
        <v>23620.57</v>
      </c>
      <c r="D199" s="495">
        <v>0</v>
      </c>
      <c r="E199" s="492">
        <f t="shared" si="31"/>
        <v>23620.57</v>
      </c>
      <c r="F199" s="494">
        <v>10487351.76</v>
      </c>
      <c r="G199" s="493">
        <v>0</v>
      </c>
      <c r="H199" s="443">
        <f t="shared" si="32"/>
        <v>10487351.76</v>
      </c>
      <c r="J199" s="672"/>
      <c r="K199" s="672"/>
      <c r="L199" s="672"/>
      <c r="M199" s="672"/>
      <c r="N199" s="672"/>
    </row>
    <row r="200" spans="1:14" ht="14.4" hidden="1" outlineLevel="1" thickTop="1" x14ac:dyDescent="0.25">
      <c r="A200" s="497" t="s">
        <v>288</v>
      </c>
      <c r="B200" s="455" t="s">
        <v>248</v>
      </c>
      <c r="C200" s="496">
        <v>10147.94</v>
      </c>
      <c r="D200" s="495">
        <v>0</v>
      </c>
      <c r="E200" s="492">
        <f t="shared" si="31"/>
        <v>10147.94</v>
      </c>
      <c r="F200" s="494">
        <v>4062740.88</v>
      </c>
      <c r="G200" s="493">
        <v>0</v>
      </c>
      <c r="H200" s="443">
        <f t="shared" si="32"/>
        <v>4062740.88</v>
      </c>
      <c r="J200" s="672"/>
      <c r="K200" s="672"/>
      <c r="L200" s="672"/>
      <c r="M200" s="672"/>
      <c r="N200" s="672"/>
    </row>
    <row r="201" spans="1:14" ht="14.4" hidden="1" outlineLevel="1" thickTop="1" x14ac:dyDescent="0.25">
      <c r="A201" s="497" t="s">
        <v>288</v>
      </c>
      <c r="B201" s="455" t="s">
        <v>252</v>
      </c>
      <c r="C201" s="496">
        <v>1167.3</v>
      </c>
      <c r="D201" s="495">
        <v>14.26</v>
      </c>
      <c r="E201" s="492">
        <f t="shared" si="31"/>
        <v>1181.56</v>
      </c>
      <c r="F201" s="494">
        <v>306880.99</v>
      </c>
      <c r="G201" s="493">
        <v>3102.84</v>
      </c>
      <c r="H201" s="443">
        <f t="shared" si="32"/>
        <v>309983.83</v>
      </c>
      <c r="J201" s="672"/>
      <c r="K201" s="672"/>
      <c r="L201" s="672"/>
      <c r="M201" s="672"/>
      <c r="N201" s="672"/>
    </row>
    <row r="202" spans="1:14" ht="14.4" hidden="1" outlineLevel="1" thickTop="1" x14ac:dyDescent="0.25">
      <c r="A202" s="497" t="s">
        <v>288</v>
      </c>
      <c r="B202" s="455" t="s">
        <v>224</v>
      </c>
      <c r="C202" s="496">
        <v>93133.64</v>
      </c>
      <c r="D202" s="495">
        <v>3.31</v>
      </c>
      <c r="E202" s="492">
        <f t="shared" si="31"/>
        <v>93136.95</v>
      </c>
      <c r="F202" s="494">
        <v>27947652.170000002</v>
      </c>
      <c r="G202" s="493">
        <v>412.72</v>
      </c>
      <c r="H202" s="443">
        <f t="shared" si="32"/>
        <v>27948064.890000001</v>
      </c>
      <c r="J202" s="672"/>
      <c r="K202" s="672"/>
      <c r="L202" s="672"/>
      <c r="M202" s="672"/>
      <c r="N202" s="672"/>
    </row>
    <row r="203" spans="1:14" ht="14.4" hidden="1" outlineLevel="1" thickTop="1" x14ac:dyDescent="0.25">
      <c r="A203" s="497" t="s">
        <v>288</v>
      </c>
      <c r="B203" s="455" t="s">
        <v>259</v>
      </c>
      <c r="C203" s="496">
        <v>11813.57</v>
      </c>
      <c r="D203" s="495">
        <v>0</v>
      </c>
      <c r="E203" s="492">
        <f t="shared" si="31"/>
        <v>11813.57</v>
      </c>
      <c r="F203" s="494">
        <v>4522393.3099999996</v>
      </c>
      <c r="G203" s="493">
        <v>0</v>
      </c>
      <c r="H203" s="443">
        <f t="shared" si="32"/>
        <v>4522393.3099999996</v>
      </c>
      <c r="J203" s="672"/>
      <c r="K203" s="672"/>
      <c r="L203" s="672"/>
      <c r="M203" s="672"/>
      <c r="N203" s="672"/>
    </row>
    <row r="204" spans="1:14" s="481" customFormat="1" ht="15" collapsed="1" thickTop="1" thickBot="1" x14ac:dyDescent="0.3">
      <c r="A204" s="628" t="s">
        <v>288</v>
      </c>
      <c r="B204" s="627" t="s">
        <v>403</v>
      </c>
      <c r="C204" s="633">
        <f>SUM(C188:C203)</f>
        <v>281655.08</v>
      </c>
      <c r="D204" s="648">
        <f>SUM(D188:D203)</f>
        <v>42105.68</v>
      </c>
      <c r="E204" s="649">
        <f t="shared" si="31"/>
        <v>323760.76</v>
      </c>
      <c r="F204" s="634">
        <f>SUM(F188:F203)</f>
        <v>89542266.030000001</v>
      </c>
      <c r="G204" s="641">
        <f>SUM(G188:G203)</f>
        <v>20080172.379999999</v>
      </c>
      <c r="H204" s="652">
        <f>+G204+F204</f>
        <v>109622438.41</v>
      </c>
      <c r="I204" s="672">
        <f>+'TAB1.0 Accomplshmnt by District'!E131-C204</f>
        <v>-50.100000000034925</v>
      </c>
      <c r="J204" s="672">
        <f>+'TAB1.0 Accomplshmnt by District'!G131-D204</f>
        <v>0.69999999999708962</v>
      </c>
      <c r="K204" s="672">
        <f>+'TAB1.0 Accomplshmnt by District'!I131-E204</f>
        <v>-49.400000000081491</v>
      </c>
      <c r="L204" s="672">
        <f>+'TAB1.0 Accomplshmnt by District'!J131-F204</f>
        <v>0</v>
      </c>
      <c r="M204" s="672">
        <f>+'TAB1.0 Accomplshmnt by District'!L131-G204</f>
        <v>0</v>
      </c>
      <c r="N204" s="672">
        <f>+'TAB1.0 Accomplshmnt by District'!N131-H204</f>
        <v>0</v>
      </c>
    </row>
    <row r="205" spans="1:14" ht="14.4" hidden="1" outlineLevel="1" thickTop="1" x14ac:dyDescent="0.25">
      <c r="A205" s="483">
        <v>2006</v>
      </c>
      <c r="B205" s="455" t="s">
        <v>214</v>
      </c>
      <c r="C205" s="472">
        <v>3235.62</v>
      </c>
      <c r="D205" s="453">
        <v>0</v>
      </c>
      <c r="E205" s="492">
        <f t="shared" si="31"/>
        <v>3235.62</v>
      </c>
      <c r="F205" s="479">
        <v>1703592.25</v>
      </c>
      <c r="G205" s="451">
        <v>0</v>
      </c>
      <c r="H205" s="443">
        <f t="shared" ref="H205:H220" si="33">SUM(F205:G205)</f>
        <v>1703592.25</v>
      </c>
      <c r="J205" s="672"/>
      <c r="K205" s="672"/>
      <c r="L205" s="672"/>
      <c r="M205" s="672"/>
      <c r="N205" s="672"/>
    </row>
    <row r="206" spans="1:14" ht="14.4" hidden="1" outlineLevel="1" thickTop="1" x14ac:dyDescent="0.25">
      <c r="A206" s="483">
        <v>2006</v>
      </c>
      <c r="B206" s="455" t="s">
        <v>216</v>
      </c>
      <c r="C206" s="472">
        <v>2048.34</v>
      </c>
      <c r="D206" s="453">
        <v>0</v>
      </c>
      <c r="E206" s="446">
        <f t="shared" si="31"/>
        <v>2048.34</v>
      </c>
      <c r="F206" s="479">
        <v>772832.4</v>
      </c>
      <c r="G206" s="451">
        <v>0</v>
      </c>
      <c r="H206" s="443">
        <f t="shared" si="33"/>
        <v>772832.4</v>
      </c>
      <c r="J206" s="672"/>
      <c r="K206" s="672"/>
      <c r="L206" s="672"/>
      <c r="M206" s="672"/>
      <c r="N206" s="672"/>
    </row>
    <row r="207" spans="1:14" ht="14.4" hidden="1" outlineLevel="1" thickTop="1" x14ac:dyDescent="0.25">
      <c r="A207" s="483">
        <v>2006</v>
      </c>
      <c r="B207" s="455" t="s">
        <v>219</v>
      </c>
      <c r="C207" s="472">
        <v>91365.66</v>
      </c>
      <c r="D207" s="453">
        <v>60.84</v>
      </c>
      <c r="E207" s="446">
        <f t="shared" si="31"/>
        <v>91426.5</v>
      </c>
      <c r="F207" s="479">
        <v>33611526.899999999</v>
      </c>
      <c r="G207" s="451">
        <v>26136.29</v>
      </c>
      <c r="H207" s="443">
        <f t="shared" si="33"/>
        <v>33637663.189999998</v>
      </c>
      <c r="J207" s="672"/>
      <c r="K207" s="672"/>
      <c r="L207" s="672"/>
      <c r="M207" s="672"/>
      <c r="N207" s="672"/>
    </row>
    <row r="208" spans="1:14" ht="14.4" hidden="1" outlineLevel="1" thickTop="1" x14ac:dyDescent="0.25">
      <c r="A208" s="483">
        <v>2006</v>
      </c>
      <c r="B208" s="455" t="s">
        <v>222</v>
      </c>
      <c r="C208" s="472">
        <v>3414.73</v>
      </c>
      <c r="D208" s="453">
        <v>0</v>
      </c>
      <c r="E208" s="446">
        <f t="shared" si="31"/>
        <v>3414.73</v>
      </c>
      <c r="F208" s="479">
        <v>1645902.59</v>
      </c>
      <c r="G208" s="451">
        <v>0</v>
      </c>
      <c r="H208" s="443">
        <f t="shared" si="33"/>
        <v>1645902.59</v>
      </c>
      <c r="J208" s="672"/>
      <c r="K208" s="672"/>
      <c r="L208" s="672"/>
      <c r="M208" s="672"/>
      <c r="N208" s="672"/>
    </row>
    <row r="209" spans="1:14" ht="14.4" hidden="1" outlineLevel="1" thickTop="1" x14ac:dyDescent="0.25">
      <c r="A209" s="483">
        <v>2006</v>
      </c>
      <c r="B209" s="455" t="s">
        <v>223</v>
      </c>
      <c r="C209" s="472">
        <v>1707.82</v>
      </c>
      <c r="D209" s="453">
        <v>6151.3</v>
      </c>
      <c r="E209" s="446">
        <f t="shared" si="31"/>
        <v>7859.12</v>
      </c>
      <c r="F209" s="479">
        <v>841044.51</v>
      </c>
      <c r="G209" s="451">
        <v>3214246.96</v>
      </c>
      <c r="H209" s="443">
        <f t="shared" si="33"/>
        <v>4055291.4699999997</v>
      </c>
      <c r="J209" s="672"/>
      <c r="K209" s="672"/>
      <c r="L209" s="672"/>
      <c r="M209" s="672"/>
      <c r="N209" s="672"/>
    </row>
    <row r="210" spans="1:14" ht="14.4" hidden="1" outlineLevel="1" thickTop="1" x14ac:dyDescent="0.25">
      <c r="A210" s="483">
        <v>2006</v>
      </c>
      <c r="B210" s="455" t="s">
        <v>231</v>
      </c>
      <c r="C210" s="472">
        <v>1243.33</v>
      </c>
      <c r="D210" s="453">
        <v>4927.88</v>
      </c>
      <c r="E210" s="446">
        <f t="shared" si="31"/>
        <v>6171.21</v>
      </c>
      <c r="F210" s="479">
        <v>332474.15000000002</v>
      </c>
      <c r="G210" s="451">
        <v>2755968.64</v>
      </c>
      <c r="H210" s="443">
        <f t="shared" si="33"/>
        <v>3088442.79</v>
      </c>
      <c r="J210" s="672"/>
      <c r="K210" s="672"/>
      <c r="L210" s="672"/>
      <c r="M210" s="672"/>
      <c r="N210" s="672"/>
    </row>
    <row r="211" spans="1:14" ht="14.4" hidden="1" outlineLevel="1" thickTop="1" x14ac:dyDescent="0.25">
      <c r="A211" s="483">
        <v>2006</v>
      </c>
      <c r="B211" s="455" t="s">
        <v>238</v>
      </c>
      <c r="C211" s="472">
        <v>0</v>
      </c>
      <c r="D211" s="453">
        <v>0</v>
      </c>
      <c r="E211" s="446">
        <f t="shared" si="31"/>
        <v>0</v>
      </c>
      <c r="F211" s="479">
        <v>0</v>
      </c>
      <c r="G211" s="451">
        <v>0</v>
      </c>
      <c r="H211" s="443">
        <f t="shared" si="33"/>
        <v>0</v>
      </c>
      <c r="J211" s="672"/>
      <c r="K211" s="672"/>
      <c r="L211" s="672"/>
      <c r="M211" s="672"/>
      <c r="N211" s="672"/>
    </row>
    <row r="212" spans="1:14" ht="14.4" hidden="1" outlineLevel="1" thickTop="1" x14ac:dyDescent="0.25">
      <c r="A212" s="483">
        <v>2006</v>
      </c>
      <c r="B212" s="455" t="s">
        <v>239</v>
      </c>
      <c r="C212" s="472">
        <v>0</v>
      </c>
      <c r="D212" s="453">
        <v>0</v>
      </c>
      <c r="E212" s="446">
        <f t="shared" si="31"/>
        <v>0</v>
      </c>
      <c r="F212" s="479">
        <v>0</v>
      </c>
      <c r="G212" s="451">
        <v>0</v>
      </c>
      <c r="H212" s="443">
        <f t="shared" si="33"/>
        <v>0</v>
      </c>
      <c r="J212" s="672"/>
      <c r="K212" s="672"/>
      <c r="L212" s="672"/>
      <c r="M212" s="672"/>
      <c r="N212" s="672"/>
    </row>
    <row r="213" spans="1:14" ht="14.4" hidden="1" outlineLevel="1" thickTop="1" x14ac:dyDescent="0.25">
      <c r="A213" s="483">
        <v>2006</v>
      </c>
      <c r="B213" s="455" t="s">
        <v>242</v>
      </c>
      <c r="C213" s="472">
        <v>4508.95</v>
      </c>
      <c r="D213" s="453">
        <v>3711.72</v>
      </c>
      <c r="E213" s="446">
        <f t="shared" si="31"/>
        <v>8220.67</v>
      </c>
      <c r="F213" s="479">
        <v>922109.4</v>
      </c>
      <c r="G213" s="451">
        <v>777660.62</v>
      </c>
      <c r="H213" s="443">
        <f t="shared" si="33"/>
        <v>1699770.02</v>
      </c>
      <c r="J213" s="672"/>
      <c r="K213" s="672"/>
      <c r="L213" s="672"/>
      <c r="M213" s="672"/>
      <c r="N213" s="672"/>
    </row>
    <row r="214" spans="1:14" ht="14.4" hidden="1" outlineLevel="1" thickTop="1" x14ac:dyDescent="0.25">
      <c r="A214" s="483">
        <v>2006</v>
      </c>
      <c r="B214" s="455" t="s">
        <v>244</v>
      </c>
      <c r="C214" s="472">
        <v>7415.76</v>
      </c>
      <c r="D214" s="453">
        <v>0</v>
      </c>
      <c r="E214" s="446">
        <f t="shared" si="31"/>
        <v>7415.76</v>
      </c>
      <c r="F214" s="479">
        <v>3479016.11</v>
      </c>
      <c r="G214" s="451">
        <v>0</v>
      </c>
      <c r="H214" s="443">
        <f t="shared" si="33"/>
        <v>3479016.11</v>
      </c>
      <c r="J214" s="672"/>
      <c r="K214" s="672"/>
      <c r="L214" s="672"/>
      <c r="M214" s="672"/>
      <c r="N214" s="672"/>
    </row>
    <row r="215" spans="1:14" ht="14.4" hidden="1" outlineLevel="1" thickTop="1" x14ac:dyDescent="0.25">
      <c r="A215" s="483">
        <v>2006</v>
      </c>
      <c r="B215" s="455" t="s">
        <v>245</v>
      </c>
      <c r="C215" s="472">
        <v>6724.59</v>
      </c>
      <c r="D215" s="453">
        <v>1340.95</v>
      </c>
      <c r="E215" s="446">
        <f t="shared" si="31"/>
        <v>8065.54</v>
      </c>
      <c r="F215" s="479">
        <v>2693397.79</v>
      </c>
      <c r="G215" s="451">
        <v>341231.93</v>
      </c>
      <c r="H215" s="443">
        <f t="shared" si="33"/>
        <v>3034629.72</v>
      </c>
      <c r="J215" s="672"/>
      <c r="K215" s="672"/>
      <c r="L215" s="672"/>
      <c r="M215" s="672"/>
      <c r="N215" s="672"/>
    </row>
    <row r="216" spans="1:14" ht="14.4" hidden="1" outlineLevel="1" thickTop="1" x14ac:dyDescent="0.25">
      <c r="A216" s="483">
        <v>2006</v>
      </c>
      <c r="B216" s="455" t="s">
        <v>246</v>
      </c>
      <c r="C216" s="472">
        <v>8102.61</v>
      </c>
      <c r="D216" s="453">
        <v>0</v>
      </c>
      <c r="E216" s="446">
        <f t="shared" si="31"/>
        <v>8102.61</v>
      </c>
      <c r="F216" s="479">
        <v>3940716.76</v>
      </c>
      <c r="G216" s="451">
        <v>0</v>
      </c>
      <c r="H216" s="443">
        <f t="shared" si="33"/>
        <v>3940716.76</v>
      </c>
      <c r="J216" s="672"/>
      <c r="K216" s="672"/>
      <c r="L216" s="672"/>
      <c r="M216" s="672"/>
      <c r="N216" s="672"/>
    </row>
    <row r="217" spans="1:14" ht="14.4" hidden="1" outlineLevel="1" thickTop="1" x14ac:dyDescent="0.25">
      <c r="A217" s="483">
        <v>2006</v>
      </c>
      <c r="B217" s="455" t="s">
        <v>248</v>
      </c>
      <c r="C217" s="472">
        <v>15682.11</v>
      </c>
      <c r="D217" s="453">
        <v>480.78</v>
      </c>
      <c r="E217" s="446">
        <f t="shared" si="31"/>
        <v>16162.890000000001</v>
      </c>
      <c r="F217" s="479">
        <v>7624547.8399999999</v>
      </c>
      <c r="G217" s="451">
        <v>172534</v>
      </c>
      <c r="H217" s="443">
        <f t="shared" si="33"/>
        <v>7797081.8399999999</v>
      </c>
      <c r="J217" s="672"/>
      <c r="K217" s="672"/>
      <c r="L217" s="672"/>
      <c r="M217" s="672"/>
      <c r="N217" s="672"/>
    </row>
    <row r="218" spans="1:14" ht="14.4" hidden="1" outlineLevel="1" thickTop="1" x14ac:dyDescent="0.25">
      <c r="A218" s="483">
        <v>2006</v>
      </c>
      <c r="B218" s="455" t="s">
        <v>252</v>
      </c>
      <c r="C218" s="472">
        <v>2075.98</v>
      </c>
      <c r="D218" s="453">
        <v>410.33</v>
      </c>
      <c r="E218" s="446">
        <f t="shared" si="31"/>
        <v>2486.31</v>
      </c>
      <c r="F218" s="479">
        <v>598158.1</v>
      </c>
      <c r="G218" s="451">
        <v>88655.08</v>
      </c>
      <c r="H218" s="443">
        <f t="shared" si="33"/>
        <v>686813.17999999993</v>
      </c>
      <c r="J218" s="672"/>
      <c r="K218" s="672"/>
      <c r="L218" s="672"/>
      <c r="M218" s="672"/>
      <c r="N218" s="672"/>
    </row>
    <row r="219" spans="1:14" ht="14.4" hidden="1" outlineLevel="1" thickTop="1" x14ac:dyDescent="0.25">
      <c r="A219" s="483">
        <v>2006</v>
      </c>
      <c r="B219" s="455" t="s">
        <v>224</v>
      </c>
      <c r="C219" s="472">
        <v>104769.47</v>
      </c>
      <c r="D219" s="453">
        <v>749.06</v>
      </c>
      <c r="E219" s="446">
        <f t="shared" ref="E219:E250" si="34">SUM(C219:D219)</f>
        <v>105518.53</v>
      </c>
      <c r="F219" s="479">
        <v>34257580.530000001</v>
      </c>
      <c r="G219" s="451">
        <v>233224.21</v>
      </c>
      <c r="H219" s="443">
        <f t="shared" si="33"/>
        <v>34490804.740000002</v>
      </c>
      <c r="J219" s="672"/>
      <c r="K219" s="672"/>
      <c r="L219" s="672"/>
      <c r="M219" s="672"/>
      <c r="N219" s="672"/>
    </row>
    <row r="220" spans="1:14" ht="14.4" hidden="1" outlineLevel="1" thickTop="1" x14ac:dyDescent="0.25">
      <c r="A220" s="450">
        <v>2006</v>
      </c>
      <c r="B220" s="478" t="s">
        <v>259</v>
      </c>
      <c r="C220" s="471">
        <v>24613.37</v>
      </c>
      <c r="D220" s="464">
        <v>0</v>
      </c>
      <c r="E220" s="477">
        <f t="shared" si="34"/>
        <v>24613.37</v>
      </c>
      <c r="F220" s="476">
        <v>10727943.939999999</v>
      </c>
      <c r="G220" s="475">
        <v>0</v>
      </c>
      <c r="H220" s="474">
        <f t="shared" si="33"/>
        <v>10727943.939999999</v>
      </c>
      <c r="J220" s="672"/>
      <c r="K220" s="672"/>
      <c r="L220" s="672"/>
      <c r="M220" s="672"/>
      <c r="N220" s="672"/>
    </row>
    <row r="221" spans="1:14" s="481" customFormat="1" ht="15" collapsed="1" thickTop="1" thickBot="1" x14ac:dyDescent="0.3">
      <c r="A221" s="628">
        <v>2006</v>
      </c>
      <c r="B221" s="627" t="s">
        <v>403</v>
      </c>
      <c r="C221" s="633">
        <f>SUM(C205:C220)</f>
        <v>276908.34000000003</v>
      </c>
      <c r="D221" s="648">
        <f>SUM(D205:D220)</f>
        <v>17832.860000000004</v>
      </c>
      <c r="E221" s="649">
        <f t="shared" si="34"/>
        <v>294741.2</v>
      </c>
      <c r="F221" s="634">
        <f>SUM(F205:F220)</f>
        <v>103150843.26999998</v>
      </c>
      <c r="G221" s="641">
        <f>SUM(G205:G220)</f>
        <v>7609657.7300000004</v>
      </c>
      <c r="H221" s="652">
        <f>+G221+F221</f>
        <v>110760500.99999999</v>
      </c>
      <c r="I221" s="672">
        <f>+'TAB1.0 Accomplshmnt by District'!E141-C221</f>
        <v>0</v>
      </c>
      <c r="J221" s="672">
        <f>+'TAB1.0 Accomplshmnt by District'!G141-D221</f>
        <v>0</v>
      </c>
      <c r="K221" s="672">
        <f>+'TAB1.0 Accomplshmnt by District'!I141-E221</f>
        <v>0</v>
      </c>
      <c r="L221" s="672">
        <f>+'TAB1.0 Accomplshmnt by District'!J141-F221</f>
        <v>0</v>
      </c>
      <c r="M221" s="672">
        <f>+'TAB1.0 Accomplshmnt by District'!L141-G221</f>
        <v>0</v>
      </c>
      <c r="N221" s="672">
        <f>+'TAB1.0 Accomplshmnt by District'!N141-H221</f>
        <v>0</v>
      </c>
    </row>
    <row r="222" spans="1:14" ht="14.4" hidden="1" outlineLevel="1" thickTop="1" x14ac:dyDescent="0.25">
      <c r="A222" s="491">
        <v>2007</v>
      </c>
      <c r="B222" s="490" t="s">
        <v>214</v>
      </c>
      <c r="C222" s="489">
        <v>6776.7</v>
      </c>
      <c r="D222" s="488">
        <v>1141.42</v>
      </c>
      <c r="E222" s="487">
        <f t="shared" si="34"/>
        <v>7918.12</v>
      </c>
      <c r="F222" s="486">
        <v>3444663.97</v>
      </c>
      <c r="G222" s="485">
        <v>573262.93999999994</v>
      </c>
      <c r="H222" s="484">
        <f t="shared" ref="H222:H238" si="35">SUM(F222:G222)</f>
        <v>4017926.91</v>
      </c>
      <c r="J222" s="672"/>
      <c r="K222" s="672"/>
      <c r="L222" s="672"/>
      <c r="M222" s="672"/>
      <c r="N222" s="672"/>
    </row>
    <row r="223" spans="1:14" ht="14.4" hidden="1" outlineLevel="1" thickTop="1" x14ac:dyDescent="0.25">
      <c r="A223" s="483">
        <v>2007</v>
      </c>
      <c r="B223" s="455" t="s">
        <v>216</v>
      </c>
      <c r="C223" s="472">
        <v>1150.83</v>
      </c>
      <c r="D223" s="453">
        <v>0</v>
      </c>
      <c r="E223" s="446">
        <f t="shared" si="34"/>
        <v>1150.83</v>
      </c>
      <c r="F223" s="479">
        <v>539734.39</v>
      </c>
      <c r="G223" s="451">
        <v>0</v>
      </c>
      <c r="H223" s="443">
        <f t="shared" si="35"/>
        <v>539734.39</v>
      </c>
      <c r="J223" s="672"/>
      <c r="K223" s="672"/>
      <c r="L223" s="672"/>
      <c r="M223" s="672"/>
      <c r="N223" s="672"/>
    </row>
    <row r="224" spans="1:14" ht="14.4" hidden="1" outlineLevel="1" thickTop="1" x14ac:dyDescent="0.25">
      <c r="A224" s="483">
        <v>2007</v>
      </c>
      <c r="B224" s="455" t="s">
        <v>219</v>
      </c>
      <c r="C224" s="472">
        <v>77346.720000000001</v>
      </c>
      <c r="D224" s="453">
        <v>432.69</v>
      </c>
      <c r="E224" s="446">
        <f t="shared" si="34"/>
        <v>77779.41</v>
      </c>
      <c r="F224" s="479">
        <v>32358364.98</v>
      </c>
      <c r="G224" s="451">
        <v>215941.81</v>
      </c>
      <c r="H224" s="443">
        <f t="shared" si="35"/>
        <v>32574306.789999999</v>
      </c>
      <c r="J224" s="672"/>
      <c r="K224" s="672"/>
      <c r="L224" s="672"/>
      <c r="M224" s="672"/>
      <c r="N224" s="672"/>
    </row>
    <row r="225" spans="1:14" ht="14.4" hidden="1" outlineLevel="1" thickTop="1" x14ac:dyDescent="0.25">
      <c r="A225" s="483">
        <v>2007</v>
      </c>
      <c r="B225" s="455" t="s">
        <v>222</v>
      </c>
      <c r="C225" s="472">
        <v>3345.77</v>
      </c>
      <c r="D225" s="453">
        <v>0</v>
      </c>
      <c r="E225" s="446">
        <f t="shared" si="34"/>
        <v>3345.77</v>
      </c>
      <c r="F225" s="479">
        <v>1723074.45</v>
      </c>
      <c r="G225" s="451">
        <v>0</v>
      </c>
      <c r="H225" s="443">
        <f t="shared" si="35"/>
        <v>1723074.45</v>
      </c>
      <c r="J225" s="672"/>
      <c r="K225" s="672"/>
      <c r="L225" s="672"/>
      <c r="M225" s="672"/>
      <c r="N225" s="672"/>
    </row>
    <row r="226" spans="1:14" ht="14.4" hidden="1" outlineLevel="1" thickTop="1" x14ac:dyDescent="0.25">
      <c r="A226" s="483">
        <v>2007</v>
      </c>
      <c r="B226" s="455" t="s">
        <v>223</v>
      </c>
      <c r="C226" s="472">
        <v>1667.98</v>
      </c>
      <c r="D226" s="453">
        <v>14856.69</v>
      </c>
      <c r="E226" s="446">
        <f t="shared" si="34"/>
        <v>16524.670000000002</v>
      </c>
      <c r="F226" s="479">
        <v>754490.81</v>
      </c>
      <c r="G226" s="451">
        <v>7817231.2599999998</v>
      </c>
      <c r="H226" s="443">
        <f t="shared" si="35"/>
        <v>8571722.0700000003</v>
      </c>
      <c r="J226" s="672"/>
      <c r="K226" s="672"/>
      <c r="L226" s="672"/>
      <c r="M226" s="672"/>
      <c r="N226" s="672"/>
    </row>
    <row r="227" spans="1:14" ht="14.4" hidden="1" outlineLevel="1" thickTop="1" x14ac:dyDescent="0.25">
      <c r="A227" s="483">
        <v>2007</v>
      </c>
      <c r="B227" s="455" t="s">
        <v>231</v>
      </c>
      <c r="C227" s="472">
        <v>2464.63</v>
      </c>
      <c r="D227" s="453">
        <v>5548.64</v>
      </c>
      <c r="E227" s="446">
        <f t="shared" si="34"/>
        <v>8013.27</v>
      </c>
      <c r="F227" s="479">
        <v>1049206.6399999999</v>
      </c>
      <c r="G227" s="451">
        <v>2905781.33</v>
      </c>
      <c r="H227" s="443">
        <f t="shared" si="35"/>
        <v>3954987.9699999997</v>
      </c>
      <c r="J227" s="672"/>
      <c r="K227" s="672"/>
      <c r="L227" s="672"/>
      <c r="M227" s="672"/>
      <c r="N227" s="672"/>
    </row>
    <row r="228" spans="1:14" ht="14.4" hidden="1" outlineLevel="1" thickTop="1" x14ac:dyDescent="0.25">
      <c r="A228" s="483">
        <v>2007</v>
      </c>
      <c r="B228" s="455" t="s">
        <v>238</v>
      </c>
      <c r="C228" s="472">
        <v>0</v>
      </c>
      <c r="D228" s="453">
        <v>0</v>
      </c>
      <c r="E228" s="446">
        <f t="shared" si="34"/>
        <v>0</v>
      </c>
      <c r="F228" s="479">
        <v>0</v>
      </c>
      <c r="G228" s="451">
        <v>0</v>
      </c>
      <c r="H228" s="443">
        <f t="shared" si="35"/>
        <v>0</v>
      </c>
      <c r="J228" s="672"/>
      <c r="K228" s="672"/>
      <c r="L228" s="672"/>
      <c r="M228" s="672"/>
      <c r="N228" s="672"/>
    </row>
    <row r="229" spans="1:14" ht="14.4" hidden="1" outlineLevel="1" thickTop="1" x14ac:dyDescent="0.25">
      <c r="A229" s="483">
        <v>2007</v>
      </c>
      <c r="B229" s="455" t="s">
        <v>239</v>
      </c>
      <c r="C229" s="472">
        <v>0</v>
      </c>
      <c r="D229" s="453">
        <v>0</v>
      </c>
      <c r="E229" s="446">
        <f t="shared" si="34"/>
        <v>0</v>
      </c>
      <c r="F229" s="479">
        <v>0</v>
      </c>
      <c r="G229" s="451">
        <v>0</v>
      </c>
      <c r="H229" s="443">
        <f t="shared" si="35"/>
        <v>0</v>
      </c>
      <c r="J229" s="672"/>
      <c r="K229" s="672"/>
      <c r="L229" s="672"/>
      <c r="M229" s="672"/>
      <c r="N229" s="672"/>
    </row>
    <row r="230" spans="1:14" ht="14.4" hidden="1" outlineLevel="1" thickTop="1" x14ac:dyDescent="0.25">
      <c r="A230" s="483">
        <v>2007</v>
      </c>
      <c r="B230" s="455" t="s">
        <v>241</v>
      </c>
      <c r="C230" s="472">
        <v>106.43</v>
      </c>
      <c r="D230" s="453">
        <v>611.37</v>
      </c>
      <c r="E230" s="446">
        <f t="shared" si="34"/>
        <v>717.8</v>
      </c>
      <c r="F230" s="479">
        <v>19396.71</v>
      </c>
      <c r="G230" s="451">
        <v>182499.88</v>
      </c>
      <c r="H230" s="443">
        <f t="shared" si="35"/>
        <v>201896.59</v>
      </c>
      <c r="J230" s="672"/>
      <c r="K230" s="672"/>
      <c r="L230" s="672"/>
      <c r="M230" s="672"/>
      <c r="N230" s="672"/>
    </row>
    <row r="231" spans="1:14" ht="14.4" hidden="1" outlineLevel="1" thickTop="1" x14ac:dyDescent="0.25">
      <c r="A231" s="483">
        <v>2007</v>
      </c>
      <c r="B231" s="455" t="s">
        <v>242</v>
      </c>
      <c r="C231" s="472">
        <v>8725.24</v>
      </c>
      <c r="D231" s="453">
        <v>0</v>
      </c>
      <c r="E231" s="446">
        <f t="shared" si="34"/>
        <v>8725.24</v>
      </c>
      <c r="F231" s="479">
        <v>2083563.99</v>
      </c>
      <c r="G231" s="451">
        <v>0</v>
      </c>
      <c r="H231" s="443">
        <f t="shared" si="35"/>
        <v>2083563.99</v>
      </c>
      <c r="J231" s="672"/>
      <c r="K231" s="672"/>
      <c r="L231" s="672"/>
      <c r="M231" s="672"/>
      <c r="N231" s="672"/>
    </row>
    <row r="232" spans="1:14" ht="14.4" hidden="1" outlineLevel="1" thickTop="1" x14ac:dyDescent="0.25">
      <c r="A232" s="483">
        <v>2007</v>
      </c>
      <c r="B232" s="455" t="s">
        <v>244</v>
      </c>
      <c r="C232" s="472">
        <v>4553.82</v>
      </c>
      <c r="D232" s="453">
        <v>0</v>
      </c>
      <c r="E232" s="446">
        <f t="shared" si="34"/>
        <v>4553.82</v>
      </c>
      <c r="F232" s="479">
        <v>1862481.64</v>
      </c>
      <c r="G232" s="451">
        <v>0</v>
      </c>
      <c r="H232" s="443">
        <f t="shared" si="35"/>
        <v>1862481.64</v>
      </c>
      <c r="J232" s="672"/>
      <c r="K232" s="672"/>
      <c r="L232" s="672"/>
      <c r="M232" s="672"/>
      <c r="N232" s="672"/>
    </row>
    <row r="233" spans="1:14" ht="14.4" hidden="1" outlineLevel="1" thickTop="1" x14ac:dyDescent="0.25">
      <c r="A233" s="483">
        <v>2007</v>
      </c>
      <c r="B233" s="455" t="s">
        <v>245</v>
      </c>
      <c r="C233" s="472">
        <v>1653.71</v>
      </c>
      <c r="D233" s="453">
        <v>467.47</v>
      </c>
      <c r="E233" s="446">
        <f t="shared" si="34"/>
        <v>2121.1800000000003</v>
      </c>
      <c r="F233" s="479">
        <v>470482.56</v>
      </c>
      <c r="G233" s="451">
        <v>106449.36</v>
      </c>
      <c r="H233" s="443">
        <f t="shared" si="35"/>
        <v>576931.92000000004</v>
      </c>
      <c r="J233" s="672"/>
      <c r="K233" s="672"/>
      <c r="L233" s="672"/>
      <c r="M233" s="672"/>
      <c r="N233" s="672"/>
    </row>
    <row r="234" spans="1:14" ht="14.4" hidden="1" outlineLevel="1" thickTop="1" x14ac:dyDescent="0.25">
      <c r="A234" s="483">
        <v>2007</v>
      </c>
      <c r="B234" s="455" t="s">
        <v>246</v>
      </c>
      <c r="C234" s="472">
        <v>9113.8799999999992</v>
      </c>
      <c r="D234" s="453">
        <v>0</v>
      </c>
      <c r="E234" s="446">
        <f t="shared" si="34"/>
        <v>9113.8799999999992</v>
      </c>
      <c r="F234" s="479">
        <v>4210008.67</v>
      </c>
      <c r="G234" s="451">
        <v>0</v>
      </c>
      <c r="H234" s="443">
        <f t="shared" si="35"/>
        <v>4210008.67</v>
      </c>
      <c r="J234" s="672"/>
      <c r="K234" s="672"/>
      <c r="L234" s="672"/>
      <c r="M234" s="672"/>
      <c r="N234" s="672"/>
    </row>
    <row r="235" spans="1:14" ht="14.4" hidden="1" outlineLevel="1" thickTop="1" x14ac:dyDescent="0.25">
      <c r="A235" s="483">
        <v>2007</v>
      </c>
      <c r="B235" s="455" t="s">
        <v>248</v>
      </c>
      <c r="C235" s="472">
        <v>13078.05</v>
      </c>
      <c r="D235" s="453">
        <v>17.899999999999999</v>
      </c>
      <c r="E235" s="446">
        <f t="shared" si="34"/>
        <v>13095.949999999999</v>
      </c>
      <c r="F235" s="479">
        <v>6327469.46</v>
      </c>
      <c r="G235" s="451">
        <v>9634.51</v>
      </c>
      <c r="H235" s="443">
        <f t="shared" si="35"/>
        <v>6337103.9699999997</v>
      </c>
      <c r="J235" s="672"/>
      <c r="K235" s="672"/>
      <c r="L235" s="672"/>
      <c r="M235" s="672"/>
      <c r="N235" s="672"/>
    </row>
    <row r="236" spans="1:14" ht="14.4" hidden="1" outlineLevel="1" thickTop="1" x14ac:dyDescent="0.25">
      <c r="A236" s="483">
        <v>2007</v>
      </c>
      <c r="B236" s="455" t="s">
        <v>252</v>
      </c>
      <c r="C236" s="472">
        <v>2059.4499999999998</v>
      </c>
      <c r="D236" s="453">
        <v>484.89</v>
      </c>
      <c r="E236" s="446">
        <f t="shared" si="34"/>
        <v>2544.3399999999997</v>
      </c>
      <c r="F236" s="479">
        <v>505162.45</v>
      </c>
      <c r="G236" s="451">
        <v>117433.65</v>
      </c>
      <c r="H236" s="443">
        <f t="shared" si="35"/>
        <v>622596.1</v>
      </c>
      <c r="J236" s="672"/>
      <c r="K236" s="672"/>
      <c r="L236" s="672"/>
      <c r="M236" s="672"/>
      <c r="N236" s="672"/>
    </row>
    <row r="237" spans="1:14" ht="14.4" hidden="1" outlineLevel="1" thickTop="1" x14ac:dyDescent="0.25">
      <c r="A237" s="483">
        <v>2007</v>
      </c>
      <c r="B237" s="455" t="s">
        <v>224</v>
      </c>
      <c r="C237" s="472">
        <v>81989.88</v>
      </c>
      <c r="D237" s="453">
        <v>3522.53</v>
      </c>
      <c r="E237" s="446">
        <f t="shared" si="34"/>
        <v>85512.41</v>
      </c>
      <c r="F237" s="479">
        <v>27996731.030000001</v>
      </c>
      <c r="G237" s="451">
        <v>832756.81</v>
      </c>
      <c r="H237" s="443">
        <f t="shared" si="35"/>
        <v>28829487.84</v>
      </c>
      <c r="J237" s="672"/>
      <c r="K237" s="672"/>
      <c r="L237" s="672"/>
      <c r="M237" s="672"/>
      <c r="N237" s="672"/>
    </row>
    <row r="238" spans="1:14" ht="14.4" hidden="1" outlineLevel="1" thickTop="1" x14ac:dyDescent="0.25">
      <c r="A238" s="450">
        <v>2007</v>
      </c>
      <c r="B238" s="478" t="s">
        <v>259</v>
      </c>
      <c r="C238" s="471">
        <v>30364.74</v>
      </c>
      <c r="D238" s="464">
        <v>0</v>
      </c>
      <c r="E238" s="477">
        <f t="shared" si="34"/>
        <v>30364.74</v>
      </c>
      <c r="F238" s="476">
        <v>14942462.6</v>
      </c>
      <c r="G238" s="475">
        <v>0</v>
      </c>
      <c r="H238" s="474">
        <f t="shared" si="35"/>
        <v>14942462.6</v>
      </c>
      <c r="J238" s="672"/>
      <c r="K238" s="672"/>
      <c r="L238" s="672"/>
      <c r="M238" s="672"/>
      <c r="N238" s="672"/>
    </row>
    <row r="239" spans="1:14" s="481" customFormat="1" ht="15" collapsed="1" thickTop="1" thickBot="1" x14ac:dyDescent="0.3">
      <c r="A239" s="628">
        <v>2007</v>
      </c>
      <c r="B239" s="627" t="s">
        <v>403</v>
      </c>
      <c r="C239" s="633">
        <f>SUM(C222:C238)</f>
        <v>244397.83000000002</v>
      </c>
      <c r="D239" s="648">
        <f>SUM(D222:D238)</f>
        <v>27083.599999999999</v>
      </c>
      <c r="E239" s="649">
        <f t="shared" si="34"/>
        <v>271481.43</v>
      </c>
      <c r="F239" s="634">
        <f>SUM(F222:F238)</f>
        <v>98287294.350000024</v>
      </c>
      <c r="G239" s="641">
        <f>SUM(G222:G238)</f>
        <v>12760991.550000001</v>
      </c>
      <c r="H239" s="652">
        <f>+G239+F239</f>
        <v>111048285.90000002</v>
      </c>
      <c r="I239" s="672">
        <f>+'TAB1.0 Accomplshmnt by District'!E151-C239</f>
        <v>0</v>
      </c>
      <c r="J239" s="672">
        <f>+'TAB1.0 Accomplshmnt by District'!G151-D239</f>
        <v>0</v>
      </c>
      <c r="K239" s="672">
        <f>+'TAB1.0 Accomplshmnt by District'!I151-E239</f>
        <v>0</v>
      </c>
      <c r="L239" s="672">
        <f>+'TAB1.0 Accomplshmnt by District'!J151-F239</f>
        <v>0</v>
      </c>
      <c r="M239" s="672">
        <f>+'TAB1.0 Accomplshmnt by District'!L151-G239</f>
        <v>0</v>
      </c>
      <c r="N239" s="672">
        <f>+'TAB1.0 Accomplshmnt by District'!N151-H239</f>
        <v>0</v>
      </c>
    </row>
    <row r="240" spans="1:14" ht="14.4" hidden="1" outlineLevel="1" thickTop="1" x14ac:dyDescent="0.25">
      <c r="A240" s="450">
        <v>2008</v>
      </c>
      <c r="B240" s="460" t="s">
        <v>214</v>
      </c>
      <c r="C240" s="473">
        <v>1134.01</v>
      </c>
      <c r="D240" s="458">
        <v>319.62</v>
      </c>
      <c r="E240" s="446">
        <f t="shared" si="34"/>
        <v>1453.63</v>
      </c>
      <c r="F240" s="480">
        <v>232688.54</v>
      </c>
      <c r="G240" s="456">
        <v>56247.47</v>
      </c>
      <c r="H240" s="443">
        <f t="shared" ref="H240:H256" si="36">SUM(F240:G240)</f>
        <v>288936.01</v>
      </c>
      <c r="J240" s="672"/>
      <c r="K240" s="672"/>
      <c r="L240" s="672"/>
      <c r="M240" s="672"/>
      <c r="N240" s="672"/>
    </row>
    <row r="241" spans="1:14" ht="14.4" hidden="1" outlineLevel="1" thickTop="1" x14ac:dyDescent="0.25">
      <c r="A241" s="450">
        <v>2008</v>
      </c>
      <c r="B241" s="455" t="s">
        <v>216</v>
      </c>
      <c r="C241" s="472">
        <v>2048.98</v>
      </c>
      <c r="D241" s="453">
        <v>0</v>
      </c>
      <c r="E241" s="446">
        <f t="shared" si="34"/>
        <v>2048.98</v>
      </c>
      <c r="F241" s="479">
        <v>602774.67000000004</v>
      </c>
      <c r="G241" s="451">
        <v>0</v>
      </c>
      <c r="H241" s="443">
        <f t="shared" si="36"/>
        <v>602774.67000000004</v>
      </c>
      <c r="J241" s="672"/>
      <c r="K241" s="672"/>
      <c r="L241" s="672"/>
      <c r="M241" s="672"/>
      <c r="N241" s="672"/>
    </row>
    <row r="242" spans="1:14" ht="14.4" hidden="1" outlineLevel="1" thickTop="1" x14ac:dyDescent="0.25">
      <c r="A242" s="450">
        <v>2008</v>
      </c>
      <c r="B242" s="455" t="s">
        <v>219</v>
      </c>
      <c r="C242" s="472">
        <f>80414.72+6729.64+474.53</f>
        <v>87618.89</v>
      </c>
      <c r="D242" s="453">
        <f>2268.84</f>
        <v>2268.84</v>
      </c>
      <c r="E242" s="446">
        <f t="shared" si="34"/>
        <v>89887.73</v>
      </c>
      <c r="F242" s="479">
        <f>26442541.65+2767789.92+60102.58</f>
        <v>29270434.149999999</v>
      </c>
      <c r="G242" s="451">
        <v>1020883.27</v>
      </c>
      <c r="H242" s="443">
        <f t="shared" si="36"/>
        <v>30291317.419999998</v>
      </c>
      <c r="J242" s="672"/>
      <c r="K242" s="672"/>
      <c r="L242" s="672"/>
      <c r="M242" s="672"/>
      <c r="N242" s="672"/>
    </row>
    <row r="243" spans="1:14" ht="14.4" hidden="1" outlineLevel="1" thickTop="1" x14ac:dyDescent="0.25">
      <c r="A243" s="450">
        <v>2008</v>
      </c>
      <c r="B243" s="455" t="s">
        <v>222</v>
      </c>
      <c r="C243" s="472">
        <v>6846.46</v>
      </c>
      <c r="D243" s="453">
        <v>0</v>
      </c>
      <c r="E243" s="446">
        <f t="shared" si="34"/>
        <v>6846.46</v>
      </c>
      <c r="F243" s="479">
        <v>3436139.27</v>
      </c>
      <c r="G243" s="451">
        <v>0</v>
      </c>
      <c r="H243" s="443">
        <f t="shared" si="36"/>
        <v>3436139.27</v>
      </c>
      <c r="J243" s="672"/>
      <c r="K243" s="672"/>
      <c r="L243" s="672"/>
      <c r="M243" s="672"/>
      <c r="N243" s="672"/>
    </row>
    <row r="244" spans="1:14" ht="14.4" hidden="1" outlineLevel="1" thickTop="1" x14ac:dyDescent="0.25">
      <c r="A244" s="450">
        <v>2008</v>
      </c>
      <c r="B244" s="455" t="s">
        <v>223</v>
      </c>
      <c r="C244" s="472">
        <v>2802.54</v>
      </c>
      <c r="D244" s="453">
        <v>14223.43</v>
      </c>
      <c r="E244" s="446">
        <f t="shared" si="34"/>
        <v>17025.97</v>
      </c>
      <c r="F244" s="479">
        <v>1364219.25</v>
      </c>
      <c r="G244" s="451">
        <v>8456414.4399999995</v>
      </c>
      <c r="H244" s="443">
        <f t="shared" si="36"/>
        <v>9820633.6899999995</v>
      </c>
      <c r="J244" s="672"/>
      <c r="K244" s="672"/>
      <c r="L244" s="672"/>
      <c r="M244" s="672"/>
      <c r="N244" s="672"/>
    </row>
    <row r="245" spans="1:14" ht="14.4" hidden="1" outlineLevel="1" thickTop="1" x14ac:dyDescent="0.25">
      <c r="A245" s="450">
        <v>2008</v>
      </c>
      <c r="B245" s="455" t="s">
        <v>231</v>
      </c>
      <c r="C245" s="472">
        <f>2498.17+481.5</f>
        <v>2979.67</v>
      </c>
      <c r="D245" s="453">
        <v>414.04</v>
      </c>
      <c r="E245" s="446">
        <f t="shared" si="34"/>
        <v>3393.71</v>
      </c>
      <c r="F245" s="479">
        <f>1316363.92+163806.54</f>
        <v>1480170.46</v>
      </c>
      <c r="G245" s="451">
        <v>208522.56</v>
      </c>
      <c r="H245" s="443">
        <f t="shared" si="36"/>
        <v>1688693.02</v>
      </c>
      <c r="J245" s="672"/>
      <c r="K245" s="672"/>
      <c r="L245" s="672"/>
      <c r="M245" s="672"/>
      <c r="N245" s="672"/>
    </row>
    <row r="246" spans="1:14" ht="14.4" hidden="1" outlineLevel="1" thickTop="1" x14ac:dyDescent="0.25">
      <c r="A246" s="450">
        <v>2008</v>
      </c>
      <c r="B246" s="455" t="s">
        <v>238</v>
      </c>
      <c r="C246" s="472">
        <v>0</v>
      </c>
      <c r="D246" s="453">
        <v>0</v>
      </c>
      <c r="E246" s="446">
        <f t="shared" si="34"/>
        <v>0</v>
      </c>
      <c r="F246" s="479">
        <v>0</v>
      </c>
      <c r="G246" s="451">
        <v>0</v>
      </c>
      <c r="H246" s="443">
        <f t="shared" si="36"/>
        <v>0</v>
      </c>
      <c r="J246" s="672"/>
      <c r="K246" s="672"/>
      <c r="L246" s="672"/>
      <c r="M246" s="672"/>
      <c r="N246" s="672"/>
    </row>
    <row r="247" spans="1:14" ht="14.4" hidden="1" outlineLevel="1" thickTop="1" x14ac:dyDescent="0.25">
      <c r="A247" s="450">
        <v>2008</v>
      </c>
      <c r="B247" s="455" t="s">
        <v>239</v>
      </c>
      <c r="C247" s="472">
        <v>0</v>
      </c>
      <c r="D247" s="453">
        <v>0</v>
      </c>
      <c r="E247" s="446">
        <f t="shared" si="34"/>
        <v>0</v>
      </c>
      <c r="F247" s="479">
        <v>0</v>
      </c>
      <c r="G247" s="451">
        <v>0</v>
      </c>
      <c r="H247" s="443">
        <f t="shared" si="36"/>
        <v>0</v>
      </c>
      <c r="J247" s="672"/>
      <c r="K247" s="672"/>
      <c r="L247" s="672"/>
      <c r="M247" s="672"/>
      <c r="N247" s="672"/>
    </row>
    <row r="248" spans="1:14" ht="14.4" hidden="1" outlineLevel="1" thickTop="1" x14ac:dyDescent="0.25">
      <c r="A248" s="450">
        <v>2008</v>
      </c>
      <c r="B248" s="455" t="s">
        <v>241</v>
      </c>
      <c r="C248" s="472">
        <v>258.58999999999997</v>
      </c>
      <c r="D248" s="453">
        <v>30.17</v>
      </c>
      <c r="E248" s="446">
        <f t="shared" si="34"/>
        <v>288.76</v>
      </c>
      <c r="F248" s="479">
        <v>47667.78</v>
      </c>
      <c r="G248" s="451">
        <v>4655.2299999999996</v>
      </c>
      <c r="H248" s="443">
        <f t="shared" si="36"/>
        <v>52323.009999999995</v>
      </c>
      <c r="J248" s="672"/>
      <c r="K248" s="672"/>
      <c r="L248" s="672"/>
      <c r="M248" s="672"/>
      <c r="N248" s="672"/>
    </row>
    <row r="249" spans="1:14" ht="14.4" hidden="1" outlineLevel="1" thickTop="1" x14ac:dyDescent="0.25">
      <c r="A249" s="450">
        <v>2008</v>
      </c>
      <c r="B249" s="455" t="s">
        <v>242</v>
      </c>
      <c r="C249" s="472">
        <v>7946.74</v>
      </c>
      <c r="D249" s="453">
        <v>0</v>
      </c>
      <c r="E249" s="446">
        <f t="shared" si="34"/>
        <v>7946.74</v>
      </c>
      <c r="F249" s="479">
        <v>2087127.44</v>
      </c>
      <c r="G249" s="451">
        <v>0</v>
      </c>
      <c r="H249" s="443">
        <f t="shared" si="36"/>
        <v>2087127.44</v>
      </c>
      <c r="J249" s="672"/>
      <c r="K249" s="672"/>
      <c r="L249" s="672"/>
      <c r="M249" s="672"/>
      <c r="N249" s="672"/>
    </row>
    <row r="250" spans="1:14" ht="14.4" hidden="1" outlineLevel="1" thickTop="1" x14ac:dyDescent="0.25">
      <c r="A250" s="450">
        <v>2008</v>
      </c>
      <c r="B250" s="455" t="s">
        <v>244</v>
      </c>
      <c r="C250" s="472">
        <v>6839.13</v>
      </c>
      <c r="D250" s="453">
        <v>2675.01</v>
      </c>
      <c r="E250" s="446">
        <f t="shared" si="34"/>
        <v>9514.14</v>
      </c>
      <c r="F250" s="479">
        <v>2649455.2999999998</v>
      </c>
      <c r="G250" s="451">
        <v>1419775.46</v>
      </c>
      <c r="H250" s="443">
        <f t="shared" si="36"/>
        <v>4069230.76</v>
      </c>
      <c r="J250" s="672"/>
      <c r="K250" s="672"/>
      <c r="L250" s="672"/>
      <c r="M250" s="672"/>
      <c r="N250" s="672"/>
    </row>
    <row r="251" spans="1:14" ht="14.4" hidden="1" outlineLevel="1" thickTop="1" x14ac:dyDescent="0.25">
      <c r="A251" s="450">
        <v>2008</v>
      </c>
      <c r="B251" s="455" t="s">
        <v>245</v>
      </c>
      <c r="C251" s="472">
        <v>5430.54</v>
      </c>
      <c r="D251" s="453">
        <v>794.87</v>
      </c>
      <c r="E251" s="446">
        <f t="shared" ref="E251:E282" si="37">SUM(C251:D251)</f>
        <v>6225.41</v>
      </c>
      <c r="F251" s="479">
        <v>2311045.6</v>
      </c>
      <c r="G251" s="451">
        <v>263000.45</v>
      </c>
      <c r="H251" s="443">
        <f t="shared" si="36"/>
        <v>2574046.0500000003</v>
      </c>
      <c r="J251" s="672"/>
      <c r="K251" s="672"/>
      <c r="L251" s="672"/>
      <c r="M251" s="672"/>
      <c r="N251" s="672"/>
    </row>
    <row r="252" spans="1:14" ht="14.4" hidden="1" outlineLevel="1" thickTop="1" x14ac:dyDescent="0.25">
      <c r="A252" s="450">
        <v>2008</v>
      </c>
      <c r="B252" s="455" t="s">
        <v>246</v>
      </c>
      <c r="C252" s="472">
        <v>10169.290000000001</v>
      </c>
      <c r="D252" s="453">
        <v>0</v>
      </c>
      <c r="E252" s="446">
        <f t="shared" si="37"/>
        <v>10169.290000000001</v>
      </c>
      <c r="F252" s="479">
        <v>3685910.76</v>
      </c>
      <c r="G252" s="451">
        <v>0</v>
      </c>
      <c r="H252" s="443">
        <f t="shared" si="36"/>
        <v>3685910.76</v>
      </c>
      <c r="J252" s="672"/>
      <c r="K252" s="672"/>
      <c r="L252" s="672"/>
      <c r="M252" s="672"/>
      <c r="N252" s="672"/>
    </row>
    <row r="253" spans="1:14" ht="14.4" hidden="1" outlineLevel="1" thickTop="1" x14ac:dyDescent="0.25">
      <c r="A253" s="450">
        <v>2008</v>
      </c>
      <c r="B253" s="455" t="s">
        <v>248</v>
      </c>
      <c r="C253" s="472">
        <v>5612.23</v>
      </c>
      <c r="D253" s="453">
        <v>147.44999999999999</v>
      </c>
      <c r="E253" s="446">
        <f t="shared" si="37"/>
        <v>5759.6799999999994</v>
      </c>
      <c r="F253" s="479">
        <v>2738246</v>
      </c>
      <c r="G253" s="451">
        <v>78677.740000000005</v>
      </c>
      <c r="H253" s="443">
        <f t="shared" si="36"/>
        <v>2816923.74</v>
      </c>
      <c r="J253" s="672"/>
      <c r="K253" s="672"/>
      <c r="L253" s="672"/>
      <c r="M253" s="672"/>
      <c r="N253" s="672"/>
    </row>
    <row r="254" spans="1:14" ht="14.4" hidden="1" outlineLevel="1" thickTop="1" x14ac:dyDescent="0.25">
      <c r="A254" s="450">
        <v>2008</v>
      </c>
      <c r="B254" s="455" t="s">
        <v>252</v>
      </c>
      <c r="C254" s="472">
        <v>916.6</v>
      </c>
      <c r="D254" s="453">
        <v>297.22000000000003</v>
      </c>
      <c r="E254" s="446">
        <f t="shared" si="37"/>
        <v>1213.8200000000002</v>
      </c>
      <c r="F254" s="479">
        <v>330636.45</v>
      </c>
      <c r="G254" s="451">
        <v>94743.69</v>
      </c>
      <c r="H254" s="443">
        <f t="shared" si="36"/>
        <v>425380.14</v>
      </c>
      <c r="J254" s="672"/>
      <c r="K254" s="672"/>
      <c r="L254" s="672"/>
      <c r="M254" s="672"/>
      <c r="N254" s="672"/>
    </row>
    <row r="255" spans="1:14" ht="14.4" hidden="1" outlineLevel="1" thickTop="1" x14ac:dyDescent="0.25">
      <c r="A255" s="450">
        <v>2008</v>
      </c>
      <c r="B255" s="455" t="s">
        <v>224</v>
      </c>
      <c r="C255" s="472">
        <f>64.08+19245.02+49947.21</f>
        <v>69256.31</v>
      </c>
      <c r="D255" s="453">
        <v>1803.38</v>
      </c>
      <c r="E255" s="446">
        <f t="shared" si="37"/>
        <v>71059.69</v>
      </c>
      <c r="F255" s="479">
        <f>6114.92+8304843.89+14249067.23</f>
        <v>22560026.039999999</v>
      </c>
      <c r="G255" s="451">
        <f>385975.03</f>
        <v>385975.03</v>
      </c>
      <c r="H255" s="443">
        <f t="shared" si="36"/>
        <v>22946001.07</v>
      </c>
      <c r="J255" s="672"/>
      <c r="K255" s="672"/>
      <c r="L255" s="672"/>
      <c r="M255" s="672"/>
      <c r="N255" s="672"/>
    </row>
    <row r="256" spans="1:14" ht="14.4" hidden="1" outlineLevel="1" thickTop="1" x14ac:dyDescent="0.25">
      <c r="A256" s="450">
        <v>2008</v>
      </c>
      <c r="B256" s="478" t="s">
        <v>259</v>
      </c>
      <c r="C256" s="471">
        <v>26718.25</v>
      </c>
      <c r="D256" s="464">
        <v>0</v>
      </c>
      <c r="E256" s="477">
        <f t="shared" si="37"/>
        <v>26718.25</v>
      </c>
      <c r="F256" s="476">
        <v>11822653.01</v>
      </c>
      <c r="G256" s="475">
        <v>0</v>
      </c>
      <c r="H256" s="474">
        <f t="shared" si="36"/>
        <v>11822653.01</v>
      </c>
      <c r="J256" s="672"/>
      <c r="K256" s="672"/>
      <c r="L256" s="672"/>
      <c r="M256" s="672"/>
      <c r="N256" s="672"/>
    </row>
    <row r="257" spans="1:14" s="481" customFormat="1" ht="15" collapsed="1" thickTop="1" thickBot="1" x14ac:dyDescent="0.3">
      <c r="A257" s="629">
        <v>2008</v>
      </c>
      <c r="B257" s="627" t="s">
        <v>403</v>
      </c>
      <c r="C257" s="633">
        <f>SUM(C240:C256)</f>
        <v>236578.23</v>
      </c>
      <c r="D257" s="647">
        <f>SUM(D240:D256)</f>
        <v>22974.030000000002</v>
      </c>
      <c r="E257" s="649">
        <f t="shared" si="37"/>
        <v>259552.26</v>
      </c>
      <c r="F257" s="639">
        <f>SUM(F240:F256)</f>
        <v>84619194.719999999</v>
      </c>
      <c r="G257" s="640">
        <f>SUM(G240:G256)</f>
        <v>11988895.339999998</v>
      </c>
      <c r="H257" s="652">
        <f>+G257+F257</f>
        <v>96608090.060000002</v>
      </c>
      <c r="I257" s="672">
        <f>+'TAB1.0 Accomplshmnt by District'!E161-C257</f>
        <v>0</v>
      </c>
      <c r="J257" s="672">
        <f>+'TAB1.0 Accomplshmnt by District'!G161-D257</f>
        <v>0</v>
      </c>
      <c r="K257" s="672">
        <f>+'TAB1.0 Accomplshmnt by District'!I161-E257</f>
        <v>0</v>
      </c>
      <c r="L257" s="672">
        <f>+'TAB1.0 Accomplshmnt by District'!J161-F257</f>
        <v>2000.4299999922514</v>
      </c>
      <c r="M257" s="672">
        <f>+'TAB1.0 Accomplshmnt by District'!L161-G257</f>
        <v>0</v>
      </c>
      <c r="N257" s="672">
        <f>+'TAB1.0 Accomplshmnt by District'!N161-H257</f>
        <v>2000.4299999922514</v>
      </c>
    </row>
    <row r="258" spans="1:14" ht="14.4" hidden="1" outlineLevel="1" thickTop="1" x14ac:dyDescent="0.25">
      <c r="A258" s="450">
        <v>2009</v>
      </c>
      <c r="B258" s="460" t="s">
        <v>214</v>
      </c>
      <c r="C258" s="473">
        <v>5412.12</v>
      </c>
      <c r="D258" s="458">
        <v>487.55</v>
      </c>
      <c r="E258" s="446">
        <f t="shared" si="37"/>
        <v>5899.67</v>
      </c>
      <c r="F258" s="480">
        <v>1880321.75</v>
      </c>
      <c r="G258" s="456">
        <v>58615.7</v>
      </c>
      <c r="H258" s="443">
        <f t="shared" ref="H258:H289" si="38">SUM(F258:G258)</f>
        <v>1938937.45</v>
      </c>
      <c r="J258" s="672"/>
      <c r="K258" s="672"/>
      <c r="L258" s="672"/>
      <c r="M258" s="672"/>
      <c r="N258" s="672"/>
    </row>
    <row r="259" spans="1:14" ht="14.4" hidden="1" outlineLevel="1" thickTop="1" x14ac:dyDescent="0.25">
      <c r="A259" s="450">
        <v>2009</v>
      </c>
      <c r="B259" s="455" t="s">
        <v>216</v>
      </c>
      <c r="C259" s="472">
        <v>0</v>
      </c>
      <c r="D259" s="453">
        <v>0</v>
      </c>
      <c r="E259" s="446">
        <f t="shared" si="37"/>
        <v>0</v>
      </c>
      <c r="F259" s="479">
        <v>0</v>
      </c>
      <c r="G259" s="451">
        <v>0</v>
      </c>
      <c r="H259" s="443">
        <f t="shared" si="38"/>
        <v>0</v>
      </c>
      <c r="J259" s="672"/>
      <c r="K259" s="672"/>
      <c r="L259" s="672"/>
      <c r="M259" s="672"/>
      <c r="N259" s="672"/>
    </row>
    <row r="260" spans="1:14" ht="14.4" hidden="1" outlineLevel="1" thickTop="1" x14ac:dyDescent="0.25">
      <c r="A260" s="450">
        <v>2009</v>
      </c>
      <c r="B260" s="455" t="s">
        <v>219</v>
      </c>
      <c r="C260" s="472">
        <f>96062.12+8515.64+688.43</f>
        <v>105266.18999999999</v>
      </c>
      <c r="D260" s="453">
        <v>1135.8699999999999</v>
      </c>
      <c r="E260" s="446">
        <f t="shared" si="37"/>
        <v>106402.05999999998</v>
      </c>
      <c r="F260" s="479">
        <f>23307708.17+3522648.75+120302.67</f>
        <v>26950659.590000004</v>
      </c>
      <c r="G260" s="451">
        <v>365658.56</v>
      </c>
      <c r="H260" s="443">
        <f t="shared" si="38"/>
        <v>27316318.150000002</v>
      </c>
      <c r="J260" s="672"/>
      <c r="K260" s="672"/>
      <c r="L260" s="672"/>
      <c r="M260" s="672"/>
      <c r="N260" s="672"/>
    </row>
    <row r="261" spans="1:14" ht="14.4" hidden="1" outlineLevel="1" thickTop="1" x14ac:dyDescent="0.25">
      <c r="A261" s="450">
        <v>2009</v>
      </c>
      <c r="B261" s="455" t="s">
        <v>222</v>
      </c>
      <c r="C261" s="472">
        <v>1002.29</v>
      </c>
      <c r="D261" s="453">
        <v>0</v>
      </c>
      <c r="E261" s="446">
        <f t="shared" si="37"/>
        <v>1002.29</v>
      </c>
      <c r="F261" s="479">
        <v>478757.44</v>
      </c>
      <c r="G261" s="451">
        <v>0</v>
      </c>
      <c r="H261" s="443">
        <f t="shared" si="38"/>
        <v>478757.44</v>
      </c>
      <c r="J261" s="672"/>
      <c r="K261" s="672"/>
      <c r="L261" s="672"/>
      <c r="M261" s="672"/>
      <c r="N261" s="672"/>
    </row>
    <row r="262" spans="1:14" ht="14.4" hidden="1" outlineLevel="1" thickTop="1" x14ac:dyDescent="0.25">
      <c r="A262" s="450">
        <v>2009</v>
      </c>
      <c r="B262" s="455" t="s">
        <v>223</v>
      </c>
      <c r="C262" s="472">
        <v>1962.05</v>
      </c>
      <c r="D262" s="453">
        <v>15053.15</v>
      </c>
      <c r="E262" s="446">
        <f t="shared" si="37"/>
        <v>17015.2</v>
      </c>
      <c r="F262" s="479">
        <v>414692.36</v>
      </c>
      <c r="G262" s="451">
        <v>7066734.5599999996</v>
      </c>
      <c r="H262" s="443">
        <f t="shared" si="38"/>
        <v>7481426.9199999999</v>
      </c>
      <c r="J262" s="672"/>
      <c r="K262" s="672"/>
      <c r="L262" s="672"/>
      <c r="M262" s="672"/>
      <c r="N262" s="672"/>
    </row>
    <row r="263" spans="1:14" ht="14.4" hidden="1" outlineLevel="1" thickTop="1" x14ac:dyDescent="0.25">
      <c r="A263" s="450">
        <v>2009</v>
      </c>
      <c r="B263" s="455" t="s">
        <v>231</v>
      </c>
      <c r="C263" s="472">
        <v>2607.0500000000002</v>
      </c>
      <c r="D263" s="453">
        <v>3689.17</v>
      </c>
      <c r="E263" s="446">
        <f t="shared" si="37"/>
        <v>6296.22</v>
      </c>
      <c r="F263" s="479">
        <v>812573.33</v>
      </c>
      <c r="G263" s="451">
        <v>1610227.9</v>
      </c>
      <c r="H263" s="443">
        <f t="shared" si="38"/>
        <v>2422801.23</v>
      </c>
      <c r="J263" s="672"/>
      <c r="K263" s="672"/>
      <c r="L263" s="672"/>
      <c r="M263" s="672"/>
      <c r="N263" s="672"/>
    </row>
    <row r="264" spans="1:14" ht="14.4" hidden="1" outlineLevel="1" thickTop="1" x14ac:dyDescent="0.25">
      <c r="A264" s="450">
        <v>2009</v>
      </c>
      <c r="B264" s="455" t="s">
        <v>241</v>
      </c>
      <c r="C264" s="472">
        <v>389.84</v>
      </c>
      <c r="D264" s="453">
        <v>0</v>
      </c>
      <c r="E264" s="446">
        <f t="shared" si="37"/>
        <v>389.84</v>
      </c>
      <c r="F264" s="479">
        <v>74265.17</v>
      </c>
      <c r="G264" s="451">
        <v>0</v>
      </c>
      <c r="H264" s="443">
        <f t="shared" si="38"/>
        <v>74265.17</v>
      </c>
      <c r="J264" s="672"/>
      <c r="K264" s="672"/>
      <c r="L264" s="672"/>
      <c r="M264" s="672"/>
      <c r="N264" s="672"/>
    </row>
    <row r="265" spans="1:14" ht="14.4" hidden="1" outlineLevel="1" thickTop="1" x14ac:dyDescent="0.25">
      <c r="A265" s="450">
        <v>2009</v>
      </c>
      <c r="B265" s="455" t="s">
        <v>242</v>
      </c>
      <c r="C265" s="472">
        <v>6855.07</v>
      </c>
      <c r="D265" s="453">
        <v>2474.83</v>
      </c>
      <c r="E265" s="446">
        <f t="shared" si="37"/>
        <v>9329.9</v>
      </c>
      <c r="F265" s="479">
        <v>1780109.29</v>
      </c>
      <c r="G265" s="451">
        <v>423751.04</v>
      </c>
      <c r="H265" s="443">
        <f t="shared" si="38"/>
        <v>2203860.33</v>
      </c>
      <c r="J265" s="672"/>
      <c r="K265" s="672"/>
      <c r="L265" s="672"/>
      <c r="M265" s="672"/>
      <c r="N265" s="672"/>
    </row>
    <row r="266" spans="1:14" ht="14.4" hidden="1" outlineLevel="1" thickTop="1" x14ac:dyDescent="0.25">
      <c r="A266" s="450">
        <v>2009</v>
      </c>
      <c r="B266" s="455" t="s">
        <v>244</v>
      </c>
      <c r="C266" s="472">
        <v>7057.08</v>
      </c>
      <c r="D266" s="453">
        <v>4067.4</v>
      </c>
      <c r="E266" s="446">
        <f t="shared" si="37"/>
        <v>11124.48</v>
      </c>
      <c r="F266" s="479">
        <v>2659369.52</v>
      </c>
      <c r="G266" s="451">
        <v>2159354.31</v>
      </c>
      <c r="H266" s="443">
        <f t="shared" si="38"/>
        <v>4818723.83</v>
      </c>
      <c r="J266" s="672"/>
      <c r="K266" s="672"/>
      <c r="L266" s="672"/>
      <c r="M266" s="672"/>
      <c r="N266" s="672"/>
    </row>
    <row r="267" spans="1:14" ht="14.4" hidden="1" outlineLevel="1" thickTop="1" x14ac:dyDescent="0.25">
      <c r="A267" s="450">
        <v>2009</v>
      </c>
      <c r="B267" s="455" t="s">
        <v>245</v>
      </c>
      <c r="C267" s="472">
        <v>4914.45</v>
      </c>
      <c r="D267" s="453">
        <v>1890.07</v>
      </c>
      <c r="E267" s="446">
        <f t="shared" si="37"/>
        <v>6804.5199999999995</v>
      </c>
      <c r="F267" s="479">
        <v>1223726.55</v>
      </c>
      <c r="G267" s="451">
        <v>562051.56999999995</v>
      </c>
      <c r="H267" s="443">
        <f t="shared" si="38"/>
        <v>1785778.12</v>
      </c>
      <c r="J267" s="672"/>
      <c r="K267" s="672"/>
      <c r="L267" s="672"/>
      <c r="M267" s="672"/>
      <c r="N267" s="672"/>
    </row>
    <row r="268" spans="1:14" ht="14.4" hidden="1" outlineLevel="1" thickTop="1" x14ac:dyDescent="0.25">
      <c r="A268" s="450">
        <v>2009</v>
      </c>
      <c r="B268" s="455" t="s">
        <v>246</v>
      </c>
      <c r="C268" s="472">
        <v>8031.83</v>
      </c>
      <c r="D268" s="453">
        <v>0</v>
      </c>
      <c r="E268" s="446">
        <f t="shared" si="37"/>
        <v>8031.83</v>
      </c>
      <c r="F268" s="479">
        <v>3014910.74</v>
      </c>
      <c r="G268" s="451">
        <v>0</v>
      </c>
      <c r="H268" s="443">
        <f t="shared" si="38"/>
        <v>3014910.74</v>
      </c>
      <c r="J268" s="672"/>
      <c r="K268" s="672"/>
      <c r="L268" s="672"/>
      <c r="M268" s="672"/>
      <c r="N268" s="672"/>
    </row>
    <row r="269" spans="1:14" ht="14.4" hidden="1" outlineLevel="1" thickTop="1" x14ac:dyDescent="0.25">
      <c r="A269" s="450">
        <v>2009</v>
      </c>
      <c r="B269" s="455" t="s">
        <v>248</v>
      </c>
      <c r="C269" s="472">
        <v>6634.9</v>
      </c>
      <c r="D269" s="453">
        <v>197.22</v>
      </c>
      <c r="E269" s="446">
        <f t="shared" si="37"/>
        <v>6832.12</v>
      </c>
      <c r="F269" s="479">
        <v>2913868.79</v>
      </c>
      <c r="G269" s="451">
        <v>102315.72</v>
      </c>
      <c r="H269" s="443">
        <f t="shared" si="38"/>
        <v>3016184.5100000002</v>
      </c>
      <c r="J269" s="672"/>
      <c r="K269" s="672"/>
      <c r="L269" s="672"/>
      <c r="M269" s="672"/>
      <c r="N269" s="672"/>
    </row>
    <row r="270" spans="1:14" ht="14.4" hidden="1" outlineLevel="1" thickTop="1" x14ac:dyDescent="0.25">
      <c r="A270" s="450">
        <v>2009</v>
      </c>
      <c r="B270" s="455" t="s">
        <v>252</v>
      </c>
      <c r="C270" s="472">
        <v>0</v>
      </c>
      <c r="D270" s="453">
        <v>0</v>
      </c>
      <c r="E270" s="446">
        <f t="shared" si="37"/>
        <v>0</v>
      </c>
      <c r="F270" s="479">
        <v>0</v>
      </c>
      <c r="G270" s="451">
        <v>0</v>
      </c>
      <c r="H270" s="443">
        <f t="shared" si="38"/>
        <v>0</v>
      </c>
      <c r="J270" s="672"/>
      <c r="K270" s="672"/>
      <c r="L270" s="672"/>
      <c r="M270" s="672"/>
      <c r="N270" s="672"/>
    </row>
    <row r="271" spans="1:14" ht="14.4" hidden="1" outlineLevel="1" thickTop="1" x14ac:dyDescent="0.25">
      <c r="A271" s="450">
        <v>2009</v>
      </c>
      <c r="B271" s="455" t="s">
        <v>224</v>
      </c>
      <c r="C271" s="472">
        <f>119.34+13150.26+56709.86</f>
        <v>69979.460000000006</v>
      </c>
      <c r="D271" s="453">
        <v>292.35000000000002</v>
      </c>
      <c r="E271" s="446">
        <f t="shared" si="37"/>
        <v>70271.810000000012</v>
      </c>
      <c r="F271" s="479">
        <f>6806.12+4344938.99+14280123.39</f>
        <v>18631868.5</v>
      </c>
      <c r="G271" s="451">
        <v>71074.44</v>
      </c>
      <c r="H271" s="443">
        <f t="shared" si="38"/>
        <v>18702942.940000001</v>
      </c>
      <c r="J271" s="672"/>
      <c r="K271" s="672"/>
      <c r="L271" s="672"/>
      <c r="M271" s="672"/>
      <c r="N271" s="672"/>
    </row>
    <row r="272" spans="1:14" ht="14.4" hidden="1" outlineLevel="1" thickTop="1" x14ac:dyDescent="0.25">
      <c r="A272" s="450">
        <v>2009</v>
      </c>
      <c r="B272" s="478" t="s">
        <v>259</v>
      </c>
      <c r="C272" s="471">
        <v>16801.41</v>
      </c>
      <c r="D272" s="464">
        <v>0</v>
      </c>
      <c r="E272" s="477">
        <f t="shared" si="37"/>
        <v>16801.41</v>
      </c>
      <c r="F272" s="476">
        <v>6807076.0099999998</v>
      </c>
      <c r="G272" s="475">
        <v>0</v>
      </c>
      <c r="H272" s="474">
        <f t="shared" si="38"/>
        <v>6807076.0099999998</v>
      </c>
      <c r="J272" s="672"/>
      <c r="K272" s="672"/>
      <c r="L272" s="672"/>
      <c r="M272" s="672"/>
      <c r="N272" s="672"/>
    </row>
    <row r="273" spans="1:14" s="481" customFormat="1" ht="15" collapsed="1" thickTop="1" thickBot="1" x14ac:dyDescent="0.3">
      <c r="A273" s="629">
        <v>2009</v>
      </c>
      <c r="B273" s="627" t="s">
        <v>403</v>
      </c>
      <c r="C273" s="633">
        <f>SUM(C258:C272)</f>
        <v>236913.73999999996</v>
      </c>
      <c r="D273" s="647">
        <f>SUM(D258:D272)</f>
        <v>29287.61</v>
      </c>
      <c r="E273" s="649">
        <f t="shared" si="37"/>
        <v>266201.34999999998</v>
      </c>
      <c r="F273" s="639">
        <f>SUM(F258:F272)</f>
        <v>67642199.040000007</v>
      </c>
      <c r="G273" s="640">
        <f>SUM(G258:G272)</f>
        <v>12419783.799999999</v>
      </c>
      <c r="H273" s="652">
        <f t="shared" si="38"/>
        <v>80061982.840000004</v>
      </c>
      <c r="I273" s="672">
        <f>+'TAB1.0 Accomplshmnt by District'!E171-C273</f>
        <v>0</v>
      </c>
      <c r="J273" s="672">
        <f>+'TAB1.0 Accomplshmnt by District'!G171-D273</f>
        <v>0</v>
      </c>
      <c r="K273" s="672">
        <f>+'TAB1.0 Accomplshmnt by District'!I171-E273</f>
        <v>0</v>
      </c>
      <c r="L273" s="672">
        <f>+'TAB1.0 Accomplshmnt by District'!J171-F273</f>
        <v>0</v>
      </c>
      <c r="M273" s="672">
        <f>+'TAB1.0 Accomplshmnt by District'!L171-G273</f>
        <v>0</v>
      </c>
      <c r="N273" s="672">
        <f>+'TAB1.0 Accomplshmnt by District'!N171-H273</f>
        <v>0</v>
      </c>
    </row>
    <row r="274" spans="1:14" ht="14.4" hidden="1" outlineLevel="1" thickTop="1" x14ac:dyDescent="0.25">
      <c r="A274" s="450">
        <v>2010</v>
      </c>
      <c r="B274" s="460" t="s">
        <v>214</v>
      </c>
      <c r="C274" s="473">
        <v>2920.2</v>
      </c>
      <c r="D274" s="458"/>
      <c r="E274" s="446">
        <f t="shared" si="37"/>
        <v>2920.2</v>
      </c>
      <c r="F274" s="480">
        <v>575300.31999999995</v>
      </c>
      <c r="G274" s="456"/>
      <c r="H274" s="443">
        <f t="shared" si="38"/>
        <v>575300.31999999995</v>
      </c>
      <c r="J274" s="672"/>
      <c r="K274" s="672"/>
      <c r="L274" s="672"/>
      <c r="M274" s="672"/>
      <c r="N274" s="672"/>
    </row>
    <row r="275" spans="1:14" ht="14.4" hidden="1" outlineLevel="1" thickTop="1" x14ac:dyDescent="0.25">
      <c r="A275" s="450">
        <f t="shared" ref="A275:A288" si="39">+A274</f>
        <v>2010</v>
      </c>
      <c r="B275" s="455" t="s">
        <v>216</v>
      </c>
      <c r="C275" s="472">
        <v>2603.4699999999998</v>
      </c>
      <c r="D275" s="453"/>
      <c r="E275" s="446">
        <f t="shared" si="37"/>
        <v>2603.4699999999998</v>
      </c>
      <c r="F275" s="479">
        <v>430607.73</v>
      </c>
      <c r="G275" s="451"/>
      <c r="H275" s="443">
        <f t="shared" si="38"/>
        <v>430607.73</v>
      </c>
      <c r="J275" s="672"/>
      <c r="K275" s="672"/>
      <c r="L275" s="672"/>
      <c r="M275" s="672"/>
      <c r="N275" s="672"/>
    </row>
    <row r="276" spans="1:14" ht="14.4" hidden="1" outlineLevel="1" thickTop="1" x14ac:dyDescent="0.25">
      <c r="A276" s="450">
        <f t="shared" si="39"/>
        <v>2010</v>
      </c>
      <c r="B276" s="455" t="s">
        <v>219</v>
      </c>
      <c r="C276" s="472">
        <f>81354.96+1235.38</f>
        <v>82590.340000000011</v>
      </c>
      <c r="D276" s="453">
        <v>836.3</v>
      </c>
      <c r="E276" s="446">
        <f t="shared" si="37"/>
        <v>83426.640000000014</v>
      </c>
      <c r="F276" s="479">
        <f>18539924.13+199555</f>
        <v>18739479.129999999</v>
      </c>
      <c r="G276" s="451">
        <v>113618.23</v>
      </c>
      <c r="H276" s="443">
        <f t="shared" si="38"/>
        <v>18853097.359999999</v>
      </c>
      <c r="J276" s="672"/>
      <c r="K276" s="672"/>
      <c r="L276" s="672"/>
      <c r="M276" s="672"/>
      <c r="N276" s="672"/>
    </row>
    <row r="277" spans="1:14" ht="14.4" hidden="1" outlineLevel="1" thickTop="1" x14ac:dyDescent="0.25">
      <c r="A277" s="450">
        <f t="shared" si="39"/>
        <v>2010</v>
      </c>
      <c r="B277" s="455" t="s">
        <v>222</v>
      </c>
      <c r="C277" s="472">
        <v>7981.84</v>
      </c>
      <c r="D277" s="453"/>
      <c r="E277" s="446">
        <f t="shared" si="37"/>
        <v>7981.84</v>
      </c>
      <c r="F277" s="479">
        <v>1869508.2</v>
      </c>
      <c r="G277" s="451">
        <v>0</v>
      </c>
      <c r="H277" s="443">
        <f t="shared" si="38"/>
        <v>1869508.2</v>
      </c>
      <c r="J277" s="672"/>
      <c r="K277" s="672"/>
      <c r="L277" s="672"/>
      <c r="M277" s="672"/>
      <c r="N277" s="672"/>
    </row>
    <row r="278" spans="1:14" ht="14.4" hidden="1" outlineLevel="1" thickTop="1" x14ac:dyDescent="0.25">
      <c r="A278" s="450">
        <f t="shared" si="39"/>
        <v>2010</v>
      </c>
      <c r="B278" s="455" t="s">
        <v>223</v>
      </c>
      <c r="C278" s="472">
        <v>1565.93</v>
      </c>
      <c r="D278" s="453">
        <v>8191.15</v>
      </c>
      <c r="E278" s="446">
        <f t="shared" si="37"/>
        <v>9757.08</v>
      </c>
      <c r="F278" s="479">
        <v>421187.37</v>
      </c>
      <c r="G278" s="451">
        <v>3541789.74</v>
      </c>
      <c r="H278" s="443">
        <f t="shared" si="38"/>
        <v>3962977.1100000003</v>
      </c>
      <c r="J278" s="672"/>
      <c r="K278" s="672"/>
      <c r="L278" s="672"/>
      <c r="M278" s="672"/>
      <c r="N278" s="672"/>
    </row>
    <row r="279" spans="1:14" ht="14.4" hidden="1" outlineLevel="1" thickTop="1" x14ac:dyDescent="0.25">
      <c r="A279" s="450">
        <f t="shared" si="39"/>
        <v>2010</v>
      </c>
      <c r="B279" s="455" t="s">
        <v>231</v>
      </c>
      <c r="C279" s="472">
        <f>163.06+1206.34</f>
        <v>1369.3999999999999</v>
      </c>
      <c r="D279" s="453">
        <v>7853.56</v>
      </c>
      <c r="E279" s="446">
        <f t="shared" si="37"/>
        <v>9222.9600000000009</v>
      </c>
      <c r="F279" s="479">
        <f>95823.9+294572.94</f>
        <v>390396.83999999997</v>
      </c>
      <c r="G279" s="451">
        <v>2853194.02</v>
      </c>
      <c r="H279" s="443">
        <f t="shared" si="38"/>
        <v>3243590.86</v>
      </c>
      <c r="J279" s="672"/>
      <c r="K279" s="672"/>
      <c r="L279" s="672"/>
      <c r="M279" s="672"/>
      <c r="N279" s="672"/>
    </row>
    <row r="280" spans="1:14" ht="14.4" hidden="1" outlineLevel="1" thickTop="1" x14ac:dyDescent="0.25">
      <c r="A280" s="450">
        <f t="shared" si="39"/>
        <v>2010</v>
      </c>
      <c r="B280" s="455" t="s">
        <v>241</v>
      </c>
      <c r="C280" s="472">
        <v>488.78</v>
      </c>
      <c r="D280" s="453"/>
      <c r="E280" s="446">
        <f t="shared" si="37"/>
        <v>488.78</v>
      </c>
      <c r="F280" s="479">
        <v>112019.9</v>
      </c>
      <c r="G280" s="451"/>
      <c r="H280" s="443">
        <f t="shared" si="38"/>
        <v>112019.9</v>
      </c>
      <c r="J280" s="672"/>
      <c r="K280" s="672"/>
      <c r="L280" s="672"/>
      <c r="M280" s="672"/>
      <c r="N280" s="672"/>
    </row>
    <row r="281" spans="1:14" ht="14.4" hidden="1" outlineLevel="1" thickTop="1" x14ac:dyDescent="0.25">
      <c r="A281" s="450">
        <f t="shared" si="39"/>
        <v>2010</v>
      </c>
      <c r="B281" s="455" t="s">
        <v>242</v>
      </c>
      <c r="C281" s="472">
        <v>8745.49</v>
      </c>
      <c r="D281" s="453">
        <v>3419.12</v>
      </c>
      <c r="E281" s="446">
        <f t="shared" si="37"/>
        <v>12164.61</v>
      </c>
      <c r="F281" s="479">
        <v>1438652.13</v>
      </c>
      <c r="G281" s="451">
        <v>397287.15</v>
      </c>
      <c r="H281" s="443">
        <f t="shared" si="38"/>
        <v>1835939.2799999998</v>
      </c>
      <c r="J281" s="672"/>
      <c r="K281" s="672"/>
      <c r="L281" s="672"/>
      <c r="M281" s="672"/>
      <c r="N281" s="672"/>
    </row>
    <row r="282" spans="1:14" ht="14.4" hidden="1" outlineLevel="1" thickTop="1" x14ac:dyDescent="0.25">
      <c r="A282" s="450">
        <f t="shared" si="39"/>
        <v>2010</v>
      </c>
      <c r="B282" s="455" t="s">
        <v>244</v>
      </c>
      <c r="C282" s="472">
        <v>6617.93</v>
      </c>
      <c r="D282" s="453">
        <v>212.71</v>
      </c>
      <c r="E282" s="446">
        <f t="shared" si="37"/>
        <v>6830.64</v>
      </c>
      <c r="F282" s="479">
        <v>1996576.71</v>
      </c>
      <c r="G282" s="451">
        <v>98331.38</v>
      </c>
      <c r="H282" s="443">
        <f t="shared" si="38"/>
        <v>2094908.0899999999</v>
      </c>
      <c r="J282" s="672"/>
      <c r="K282" s="672"/>
      <c r="L282" s="672"/>
      <c r="M282" s="672"/>
      <c r="N282" s="672"/>
    </row>
    <row r="283" spans="1:14" ht="14.4" hidden="1" outlineLevel="1" thickTop="1" x14ac:dyDescent="0.25">
      <c r="A283" s="450">
        <f t="shared" si="39"/>
        <v>2010</v>
      </c>
      <c r="B283" s="455" t="s">
        <v>245</v>
      </c>
      <c r="C283" s="472">
        <v>6158.07</v>
      </c>
      <c r="D283" s="453">
        <v>3984.05</v>
      </c>
      <c r="E283" s="446">
        <f t="shared" ref="E283:E288" si="40">SUM(C283:D283)</f>
        <v>10142.119999999999</v>
      </c>
      <c r="F283" s="479">
        <v>1444387.73</v>
      </c>
      <c r="G283" s="451">
        <v>1172962.17</v>
      </c>
      <c r="H283" s="443">
        <f t="shared" si="38"/>
        <v>2617349.9</v>
      </c>
      <c r="J283" s="672"/>
      <c r="K283" s="672"/>
      <c r="L283" s="672"/>
      <c r="M283" s="672"/>
      <c r="N283" s="672"/>
    </row>
    <row r="284" spans="1:14" ht="14.4" hidden="1" outlineLevel="1" thickTop="1" x14ac:dyDescent="0.25">
      <c r="A284" s="450">
        <f t="shared" si="39"/>
        <v>2010</v>
      </c>
      <c r="B284" s="455" t="s">
        <v>246</v>
      </c>
      <c r="C284" s="472">
        <v>16491.599999999999</v>
      </c>
      <c r="D284" s="453">
        <v>0</v>
      </c>
      <c r="E284" s="446">
        <f t="shared" si="40"/>
        <v>16491.599999999999</v>
      </c>
      <c r="F284" s="479">
        <v>5538374.9500000002</v>
      </c>
      <c r="G284" s="451">
        <v>0</v>
      </c>
      <c r="H284" s="443">
        <f t="shared" si="38"/>
        <v>5538374.9500000002</v>
      </c>
      <c r="J284" s="672"/>
      <c r="K284" s="672"/>
      <c r="L284" s="672"/>
      <c r="M284" s="672"/>
      <c r="N284" s="672"/>
    </row>
    <row r="285" spans="1:14" ht="14.4" hidden="1" outlineLevel="1" thickTop="1" x14ac:dyDescent="0.25">
      <c r="A285" s="450">
        <f t="shared" si="39"/>
        <v>2010</v>
      </c>
      <c r="B285" s="455" t="s">
        <v>248</v>
      </c>
      <c r="C285" s="472">
        <v>5583.22</v>
      </c>
      <c r="D285" s="453">
        <v>0</v>
      </c>
      <c r="E285" s="446">
        <f t="shared" si="40"/>
        <v>5583.22</v>
      </c>
      <c r="F285" s="479">
        <v>1254443.1399999999</v>
      </c>
      <c r="G285" s="451">
        <v>0</v>
      </c>
      <c r="H285" s="443">
        <f t="shared" si="38"/>
        <v>1254443.1399999999</v>
      </c>
      <c r="J285" s="672"/>
      <c r="K285" s="672"/>
      <c r="L285" s="672"/>
      <c r="M285" s="672"/>
      <c r="N285" s="672"/>
    </row>
    <row r="286" spans="1:14" ht="14.4" hidden="1" outlineLevel="1" thickTop="1" x14ac:dyDescent="0.25">
      <c r="A286" s="450">
        <f t="shared" si="39"/>
        <v>2010</v>
      </c>
      <c r="B286" s="455" t="s">
        <v>252</v>
      </c>
      <c r="C286" s="472">
        <v>628.41</v>
      </c>
      <c r="D286" s="453">
        <v>12.82</v>
      </c>
      <c r="E286" s="446">
        <f t="shared" si="40"/>
        <v>641.23</v>
      </c>
      <c r="F286" s="479">
        <v>62840.54</v>
      </c>
      <c r="G286" s="451">
        <v>1282.46</v>
      </c>
      <c r="H286" s="443">
        <f t="shared" si="38"/>
        <v>64123</v>
      </c>
      <c r="J286" s="672"/>
      <c r="K286" s="672"/>
      <c r="L286" s="672"/>
      <c r="M286" s="672"/>
      <c r="N286" s="672"/>
    </row>
    <row r="287" spans="1:14" ht="14.4" hidden="1" outlineLevel="1" thickTop="1" x14ac:dyDescent="0.25">
      <c r="A287" s="450">
        <f t="shared" si="39"/>
        <v>2010</v>
      </c>
      <c r="B287" s="455" t="s">
        <v>224</v>
      </c>
      <c r="C287" s="472">
        <f>9.64+39784.27+40895.4</f>
        <v>80689.31</v>
      </c>
      <c r="D287" s="453">
        <f>0+32.06+269.74</f>
        <v>301.8</v>
      </c>
      <c r="E287" s="446">
        <f t="shared" si="40"/>
        <v>80991.11</v>
      </c>
      <c r="F287" s="479">
        <f>393.67+9416727.65+6565049.58</f>
        <v>15982170.9</v>
      </c>
      <c r="G287" s="451">
        <f>0+7105.35+36427.28</f>
        <v>43532.63</v>
      </c>
      <c r="H287" s="443">
        <f t="shared" si="38"/>
        <v>16025703.530000001</v>
      </c>
      <c r="J287" s="672"/>
      <c r="K287" s="672"/>
      <c r="L287" s="672"/>
      <c r="M287" s="672"/>
      <c r="N287" s="672"/>
    </row>
    <row r="288" spans="1:14" ht="14.4" hidden="1" outlineLevel="1" thickTop="1" x14ac:dyDescent="0.25">
      <c r="A288" s="450">
        <f t="shared" si="39"/>
        <v>2010</v>
      </c>
      <c r="B288" s="478" t="s">
        <v>259</v>
      </c>
      <c r="C288" s="471">
        <v>43708.31</v>
      </c>
      <c r="D288" s="464"/>
      <c r="E288" s="477">
        <f t="shared" si="40"/>
        <v>43708.31</v>
      </c>
      <c r="F288" s="476">
        <v>12565483.92</v>
      </c>
      <c r="G288" s="475">
        <v>0</v>
      </c>
      <c r="H288" s="474">
        <f t="shared" si="38"/>
        <v>12565483.92</v>
      </c>
      <c r="J288" s="672"/>
      <c r="K288" s="672"/>
      <c r="L288" s="672"/>
      <c r="M288" s="672"/>
      <c r="N288" s="672"/>
    </row>
    <row r="289" spans="1:14" ht="15" collapsed="1" thickTop="1" thickBot="1" x14ac:dyDescent="0.3">
      <c r="A289" s="629">
        <v>2010</v>
      </c>
      <c r="B289" s="627" t="s">
        <v>403</v>
      </c>
      <c r="C289" s="633">
        <f>SUM(C274:C288)</f>
        <v>268142.30000000005</v>
      </c>
      <c r="D289" s="647">
        <f>SUM(D276:D288)</f>
        <v>24811.509999999995</v>
      </c>
      <c r="E289" s="649">
        <f>SUM(E276:E288)</f>
        <v>287430.14</v>
      </c>
      <c r="F289" s="633">
        <f>SUM(F274:F288)</f>
        <v>62821429.509999998</v>
      </c>
      <c r="G289" s="640">
        <f>SUM(G276:G288)</f>
        <v>8221997.7800000003</v>
      </c>
      <c r="H289" s="652">
        <f t="shared" si="38"/>
        <v>71043427.289999992</v>
      </c>
      <c r="I289" s="672">
        <f>+'TAB1.0 Accomplshmnt by District'!E181-C289</f>
        <v>0</v>
      </c>
      <c r="J289" s="672">
        <f>+'TAB1.0 Accomplshmnt by District'!G181-D289</f>
        <v>0</v>
      </c>
      <c r="K289" s="672">
        <f>+'TAB1.0 Accomplshmnt by District'!I181-E289</f>
        <v>5523.6699999999837</v>
      </c>
      <c r="L289" s="672">
        <f>+'TAB1.0 Accomplshmnt by District'!J181-F289</f>
        <v>0</v>
      </c>
      <c r="M289" s="672">
        <f>+'TAB1.0 Accomplshmnt by District'!L181-G289</f>
        <v>0</v>
      </c>
      <c r="N289" s="672">
        <f>+'TAB1.0 Accomplshmnt by District'!N181-H289</f>
        <v>0</v>
      </c>
    </row>
    <row r="290" spans="1:14" ht="14.4" hidden="1" outlineLevel="1" thickTop="1" x14ac:dyDescent="0.25">
      <c r="A290" s="450">
        <v>2011</v>
      </c>
      <c r="B290" s="460" t="s">
        <v>214</v>
      </c>
      <c r="C290" s="473">
        <v>2392</v>
      </c>
      <c r="D290" s="458">
        <v>0</v>
      </c>
      <c r="E290" s="446">
        <f t="shared" ref="E290:E305" si="41">C290+D290</f>
        <v>2392</v>
      </c>
      <c r="F290" s="457">
        <v>763363.29</v>
      </c>
      <c r="G290" s="456">
        <v>0</v>
      </c>
      <c r="H290" s="443">
        <f t="shared" ref="H290:H305" si="42">F290+G290</f>
        <v>763363.29</v>
      </c>
      <c r="J290" s="672"/>
      <c r="K290" s="672"/>
      <c r="L290" s="672"/>
      <c r="M290" s="672"/>
      <c r="N290" s="672"/>
    </row>
    <row r="291" spans="1:14" hidden="1" outlineLevel="1" x14ac:dyDescent="0.25">
      <c r="A291" s="450">
        <f t="shared" ref="A291:A303" si="43">+A290</f>
        <v>2011</v>
      </c>
      <c r="B291" s="455" t="s">
        <v>216</v>
      </c>
      <c r="C291" s="472">
        <v>2478</v>
      </c>
      <c r="D291" s="453">
        <v>0</v>
      </c>
      <c r="E291" s="446">
        <f t="shared" si="41"/>
        <v>2478</v>
      </c>
      <c r="F291" s="452">
        <v>784414.97</v>
      </c>
      <c r="G291" s="451">
        <v>0</v>
      </c>
      <c r="H291" s="443">
        <f t="shared" si="42"/>
        <v>784414.97</v>
      </c>
      <c r="J291" s="672"/>
      <c r="K291" s="672"/>
      <c r="L291" s="672"/>
      <c r="M291" s="672"/>
      <c r="N291" s="672"/>
    </row>
    <row r="292" spans="1:14" hidden="1" outlineLevel="1" x14ac:dyDescent="0.25">
      <c r="A292" s="450">
        <f t="shared" si="43"/>
        <v>2011</v>
      </c>
      <c r="B292" s="455" t="s">
        <v>219</v>
      </c>
      <c r="C292" s="472">
        <v>60524</v>
      </c>
      <c r="D292" s="453">
        <v>136.93</v>
      </c>
      <c r="E292" s="446">
        <f t="shared" si="41"/>
        <v>60660.93</v>
      </c>
      <c r="F292" s="452">
        <v>17525133.879999999</v>
      </c>
      <c r="G292" s="451">
        <v>14824.93</v>
      </c>
      <c r="H292" s="443">
        <f t="shared" si="42"/>
        <v>17539958.809999999</v>
      </c>
      <c r="J292" s="672"/>
      <c r="K292" s="672"/>
      <c r="L292" s="672"/>
      <c r="M292" s="672"/>
      <c r="N292" s="672"/>
    </row>
    <row r="293" spans="1:14" hidden="1" outlineLevel="1" x14ac:dyDescent="0.25">
      <c r="A293" s="450">
        <f t="shared" si="43"/>
        <v>2011</v>
      </c>
      <c r="B293" s="455" t="s">
        <v>222</v>
      </c>
      <c r="C293" s="472">
        <v>0</v>
      </c>
      <c r="D293" s="453">
        <v>0</v>
      </c>
      <c r="E293" s="446">
        <f t="shared" si="41"/>
        <v>0</v>
      </c>
      <c r="F293" s="452">
        <v>679.37</v>
      </c>
      <c r="G293" s="451">
        <v>0</v>
      </c>
      <c r="H293" s="443">
        <f t="shared" si="42"/>
        <v>679.37</v>
      </c>
      <c r="J293" s="672"/>
      <c r="K293" s="672"/>
      <c r="L293" s="672"/>
      <c r="M293" s="672"/>
      <c r="N293" s="672"/>
    </row>
    <row r="294" spans="1:14" hidden="1" outlineLevel="1" x14ac:dyDescent="0.25">
      <c r="A294" s="450">
        <f t="shared" si="43"/>
        <v>2011</v>
      </c>
      <c r="B294" s="455" t="s">
        <v>223</v>
      </c>
      <c r="C294" s="472">
        <v>2140</v>
      </c>
      <c r="D294" s="453">
        <v>24875.95</v>
      </c>
      <c r="E294" s="446">
        <f t="shared" si="41"/>
        <v>27015.95</v>
      </c>
      <c r="F294" s="452">
        <v>525448.4</v>
      </c>
      <c r="G294" s="451">
        <v>8897952.2799999993</v>
      </c>
      <c r="H294" s="443">
        <f t="shared" si="42"/>
        <v>9423400.6799999997</v>
      </c>
      <c r="J294" s="672"/>
      <c r="K294" s="672"/>
      <c r="L294" s="672"/>
      <c r="M294" s="672"/>
      <c r="N294" s="672"/>
    </row>
    <row r="295" spans="1:14" hidden="1" outlineLevel="1" x14ac:dyDescent="0.25">
      <c r="A295" s="450">
        <f t="shared" si="43"/>
        <v>2011</v>
      </c>
      <c r="B295" s="455" t="s">
        <v>231</v>
      </c>
      <c r="C295" s="472">
        <v>1780</v>
      </c>
      <c r="D295" s="453">
        <v>3012.67</v>
      </c>
      <c r="E295" s="446">
        <f t="shared" si="41"/>
        <v>4792.67</v>
      </c>
      <c r="F295" s="452">
        <v>438606.03</v>
      </c>
      <c r="G295" s="451">
        <v>1756891.4</v>
      </c>
      <c r="H295" s="443">
        <f t="shared" si="42"/>
        <v>2195497.4299999997</v>
      </c>
      <c r="J295" s="672"/>
      <c r="K295" s="672"/>
      <c r="L295" s="672"/>
      <c r="M295" s="672"/>
      <c r="N295" s="672"/>
    </row>
    <row r="296" spans="1:14" hidden="1" outlineLevel="1" x14ac:dyDescent="0.25">
      <c r="A296" s="450">
        <f t="shared" si="43"/>
        <v>2011</v>
      </c>
      <c r="B296" s="455" t="s">
        <v>241</v>
      </c>
      <c r="C296" s="472">
        <v>0</v>
      </c>
      <c r="D296" s="453">
        <v>0</v>
      </c>
      <c r="E296" s="446">
        <f t="shared" si="41"/>
        <v>0</v>
      </c>
      <c r="F296" s="452">
        <v>0</v>
      </c>
      <c r="G296" s="451">
        <v>0</v>
      </c>
      <c r="H296" s="443">
        <f t="shared" si="42"/>
        <v>0</v>
      </c>
      <c r="J296" s="672"/>
      <c r="K296" s="672"/>
      <c r="L296" s="672"/>
      <c r="M296" s="672"/>
      <c r="N296" s="672"/>
    </row>
    <row r="297" spans="1:14" hidden="1" outlineLevel="1" x14ac:dyDescent="0.25">
      <c r="A297" s="450">
        <f t="shared" si="43"/>
        <v>2011</v>
      </c>
      <c r="B297" s="455" t="s">
        <v>242</v>
      </c>
      <c r="C297" s="472">
        <v>17924</v>
      </c>
      <c r="D297" s="453">
        <v>368.45</v>
      </c>
      <c r="E297" s="446">
        <f t="shared" si="41"/>
        <v>18292.45</v>
      </c>
      <c r="F297" s="452">
        <v>3502495.34</v>
      </c>
      <c r="G297" s="451">
        <v>18422</v>
      </c>
      <c r="H297" s="443">
        <f t="shared" si="42"/>
        <v>3520917.34</v>
      </c>
      <c r="J297" s="672"/>
      <c r="K297" s="672"/>
      <c r="L297" s="672"/>
      <c r="M297" s="672"/>
      <c r="N297" s="672"/>
    </row>
    <row r="298" spans="1:14" hidden="1" outlineLevel="1" x14ac:dyDescent="0.25">
      <c r="A298" s="450">
        <f t="shared" si="43"/>
        <v>2011</v>
      </c>
      <c r="B298" s="455" t="s">
        <v>244</v>
      </c>
      <c r="C298" s="472">
        <v>10388</v>
      </c>
      <c r="D298" s="453">
        <v>202.85</v>
      </c>
      <c r="E298" s="446">
        <f t="shared" si="41"/>
        <v>10590.85</v>
      </c>
      <c r="F298" s="452">
        <v>2962911.06</v>
      </c>
      <c r="G298" s="451">
        <v>93760.05</v>
      </c>
      <c r="H298" s="443">
        <f t="shared" si="42"/>
        <v>3056671.11</v>
      </c>
      <c r="J298" s="672"/>
      <c r="K298" s="672"/>
      <c r="L298" s="672"/>
      <c r="M298" s="672"/>
      <c r="N298" s="672"/>
    </row>
    <row r="299" spans="1:14" hidden="1" outlineLevel="1" x14ac:dyDescent="0.25">
      <c r="A299" s="450">
        <f t="shared" si="43"/>
        <v>2011</v>
      </c>
      <c r="B299" s="455" t="s">
        <v>245</v>
      </c>
      <c r="C299" s="472">
        <v>884</v>
      </c>
      <c r="D299" s="453">
        <v>1402.36</v>
      </c>
      <c r="E299" s="446">
        <f t="shared" si="41"/>
        <v>2286.3599999999997</v>
      </c>
      <c r="F299" s="452">
        <v>235088.53</v>
      </c>
      <c r="G299" s="451">
        <v>393558.09</v>
      </c>
      <c r="H299" s="443">
        <f t="shared" si="42"/>
        <v>628646.62</v>
      </c>
      <c r="J299" s="672"/>
      <c r="K299" s="672"/>
      <c r="L299" s="672"/>
      <c r="M299" s="672"/>
      <c r="N299" s="672"/>
    </row>
    <row r="300" spans="1:14" hidden="1" outlineLevel="1" x14ac:dyDescent="0.25">
      <c r="A300" s="450">
        <f t="shared" si="43"/>
        <v>2011</v>
      </c>
      <c r="B300" s="455" t="s">
        <v>246</v>
      </c>
      <c r="C300" s="472">
        <v>13305</v>
      </c>
      <c r="D300" s="453">
        <v>0</v>
      </c>
      <c r="E300" s="446">
        <f t="shared" si="41"/>
        <v>13305</v>
      </c>
      <c r="F300" s="452">
        <v>1152374.17</v>
      </c>
      <c r="G300" s="451">
        <v>0</v>
      </c>
      <c r="H300" s="443">
        <f t="shared" si="42"/>
        <v>1152374.17</v>
      </c>
      <c r="J300" s="672"/>
      <c r="K300" s="672"/>
      <c r="L300" s="672"/>
      <c r="M300" s="672"/>
      <c r="N300" s="672"/>
    </row>
    <row r="301" spans="1:14" hidden="1" outlineLevel="1" x14ac:dyDescent="0.25">
      <c r="A301" s="450">
        <f t="shared" si="43"/>
        <v>2011</v>
      </c>
      <c r="B301" s="455" t="s">
        <v>248</v>
      </c>
      <c r="C301" s="472">
        <v>12698</v>
      </c>
      <c r="D301" s="453">
        <v>0</v>
      </c>
      <c r="E301" s="446">
        <f t="shared" si="41"/>
        <v>12698</v>
      </c>
      <c r="F301" s="452">
        <v>4209152.05</v>
      </c>
      <c r="G301" s="451">
        <v>0</v>
      </c>
      <c r="H301" s="443">
        <f t="shared" si="42"/>
        <v>4209152.05</v>
      </c>
      <c r="J301" s="672"/>
      <c r="K301" s="672"/>
      <c r="L301" s="672"/>
      <c r="M301" s="672"/>
      <c r="N301" s="672"/>
    </row>
    <row r="302" spans="1:14" hidden="1" outlineLevel="1" x14ac:dyDescent="0.25">
      <c r="A302" s="450">
        <f t="shared" si="43"/>
        <v>2011</v>
      </c>
      <c r="B302" s="455" t="s">
        <v>252</v>
      </c>
      <c r="C302" s="472">
        <v>1527</v>
      </c>
      <c r="D302" s="453">
        <v>16.88</v>
      </c>
      <c r="E302" s="446">
        <f t="shared" si="41"/>
        <v>1543.88</v>
      </c>
      <c r="F302" s="452">
        <v>166710.68</v>
      </c>
      <c r="G302" s="451">
        <v>1688.18</v>
      </c>
      <c r="H302" s="443">
        <f t="shared" si="42"/>
        <v>168398.86</v>
      </c>
      <c r="J302" s="672"/>
      <c r="K302" s="672"/>
      <c r="L302" s="672"/>
      <c r="M302" s="672"/>
      <c r="N302" s="672"/>
    </row>
    <row r="303" spans="1:14" hidden="1" outlineLevel="1" x14ac:dyDescent="0.25">
      <c r="A303" s="450">
        <f t="shared" si="43"/>
        <v>2011</v>
      </c>
      <c r="B303" s="455" t="s">
        <v>224</v>
      </c>
      <c r="C303" s="471">
        <v>66092</v>
      </c>
      <c r="D303" s="453">
        <v>1807.04</v>
      </c>
      <c r="E303" s="446">
        <f t="shared" si="41"/>
        <v>67899.039999999994</v>
      </c>
      <c r="F303" s="452">
        <v>17080224.09</v>
      </c>
      <c r="G303" s="451">
        <v>380963.17</v>
      </c>
      <c r="H303" s="443">
        <f t="shared" si="42"/>
        <v>17461187.260000002</v>
      </c>
      <c r="J303" s="672"/>
      <c r="K303" s="672"/>
      <c r="L303" s="672"/>
      <c r="M303" s="672"/>
      <c r="N303" s="672"/>
    </row>
    <row r="304" spans="1:14" hidden="1" outlineLevel="1" x14ac:dyDescent="0.25">
      <c r="A304" s="450">
        <v>2011</v>
      </c>
      <c r="B304" s="455" t="s">
        <v>404</v>
      </c>
      <c r="C304" s="471">
        <v>0</v>
      </c>
      <c r="D304" s="453">
        <v>308.27</v>
      </c>
      <c r="E304" s="446">
        <f t="shared" si="41"/>
        <v>308.27</v>
      </c>
      <c r="F304" s="452">
        <v>0</v>
      </c>
      <c r="G304" s="451">
        <v>16672.93</v>
      </c>
      <c r="H304" s="443">
        <f t="shared" si="42"/>
        <v>16672.93</v>
      </c>
      <c r="J304" s="672"/>
      <c r="K304" s="672"/>
      <c r="L304" s="672"/>
      <c r="M304" s="672"/>
      <c r="N304" s="672"/>
    </row>
    <row r="305" spans="1:14" hidden="1" outlineLevel="1" x14ac:dyDescent="0.25">
      <c r="A305" s="450">
        <f>+A303</f>
        <v>2011</v>
      </c>
      <c r="B305" s="455" t="s">
        <v>259</v>
      </c>
      <c r="C305" s="471">
        <v>47440</v>
      </c>
      <c r="D305" s="453">
        <v>0</v>
      </c>
      <c r="E305" s="446">
        <f t="shared" si="41"/>
        <v>47440</v>
      </c>
      <c r="F305" s="452">
        <v>15511460.869999999</v>
      </c>
      <c r="G305" s="451">
        <v>0</v>
      </c>
      <c r="H305" s="443">
        <f t="shared" si="42"/>
        <v>15511460.869999999</v>
      </c>
      <c r="J305" s="672"/>
      <c r="K305" s="672"/>
      <c r="L305" s="672"/>
      <c r="M305" s="672"/>
      <c r="N305" s="672"/>
    </row>
    <row r="306" spans="1:14" ht="15" collapsed="1" thickTop="1" thickBot="1" x14ac:dyDescent="0.3">
      <c r="A306" s="629">
        <v>2011</v>
      </c>
      <c r="B306" s="627" t="s">
        <v>403</v>
      </c>
      <c r="C306" s="633">
        <f>SUM(C290:C305)</f>
        <v>239572</v>
      </c>
      <c r="D306" s="646">
        <f>SUM(D290:D305)</f>
        <v>32131.400000000005</v>
      </c>
      <c r="E306" s="649">
        <f>SUM(E290:E305)</f>
        <v>271703.40000000002</v>
      </c>
      <c r="F306" s="638">
        <f>SUM(F290:F305)</f>
        <v>64858062.729999997</v>
      </c>
      <c r="G306" s="642">
        <f>SUM(G290:G305)</f>
        <v>11574733.029999999</v>
      </c>
      <c r="H306" s="652">
        <f>SUM(F306:G306)</f>
        <v>76432795.75999999</v>
      </c>
      <c r="I306" s="672">
        <f>+'TAB1.0 Accomplshmnt by District'!E191-C306</f>
        <v>-12.440000000002328</v>
      </c>
      <c r="J306" s="672">
        <f>+'TAB1.0 Accomplshmnt by District'!G191-D306</f>
        <v>-15.550000000006548</v>
      </c>
      <c r="K306" s="672">
        <f>+'TAB1.0 Accomplshmnt by District'!I191-E306</f>
        <v>-27.989999999990687</v>
      </c>
      <c r="L306" s="672">
        <f>+'TAB1.0 Accomplshmnt by District'!J191-F306</f>
        <v>3169209.2000000104</v>
      </c>
      <c r="M306" s="672">
        <f>+'TAB1.0 Accomplshmnt by District'!L191-G306</f>
        <v>-4829</v>
      </c>
      <c r="N306" s="672">
        <f>+'TAB1.0 Accomplshmnt by District'!N191-H306</f>
        <v>3164380.2000000179</v>
      </c>
    </row>
    <row r="307" spans="1:14" ht="14.4" hidden="1" outlineLevel="1" thickTop="1" x14ac:dyDescent="0.25">
      <c r="A307" s="450">
        <v>2012</v>
      </c>
      <c r="B307" s="460" t="s">
        <v>214</v>
      </c>
      <c r="C307" s="459">
        <v>5153.6099999999997</v>
      </c>
      <c r="D307" s="470">
        <v>0</v>
      </c>
      <c r="E307" s="446">
        <f t="shared" ref="E307:E341" si="44">C307+D307</f>
        <v>5153.6099999999997</v>
      </c>
      <c r="F307" s="469">
        <v>1180681.57</v>
      </c>
      <c r="G307" s="469">
        <v>0</v>
      </c>
      <c r="H307" s="443">
        <f t="shared" ref="H307:H338" si="45">F307+G307</f>
        <v>1180681.57</v>
      </c>
      <c r="J307" s="672"/>
      <c r="K307" s="672"/>
      <c r="L307" s="672"/>
      <c r="M307" s="672"/>
      <c r="N307" s="672"/>
    </row>
    <row r="308" spans="1:14" hidden="1" outlineLevel="1" x14ac:dyDescent="0.25">
      <c r="A308" s="450">
        <v>2012</v>
      </c>
      <c r="B308" s="468" t="s">
        <v>216</v>
      </c>
      <c r="C308" s="454">
        <v>8935.9</v>
      </c>
      <c r="D308" s="467">
        <v>0</v>
      </c>
      <c r="E308" s="446">
        <f t="shared" si="44"/>
        <v>8935.9</v>
      </c>
      <c r="F308" s="463">
        <v>3166879.24</v>
      </c>
      <c r="G308" s="463">
        <v>0</v>
      </c>
      <c r="H308" s="443">
        <f t="shared" si="45"/>
        <v>3166879.24</v>
      </c>
      <c r="J308" s="672"/>
      <c r="K308" s="672"/>
      <c r="L308" s="672"/>
      <c r="M308" s="672"/>
      <c r="N308" s="672"/>
    </row>
    <row r="309" spans="1:14" hidden="1" outlineLevel="1" x14ac:dyDescent="0.25">
      <c r="A309" s="450">
        <v>2012</v>
      </c>
      <c r="B309" s="455" t="s">
        <v>219</v>
      </c>
      <c r="C309" s="454">
        <f>47491.59+12958.74+85.94</f>
        <v>60536.27</v>
      </c>
      <c r="D309" s="467">
        <v>237.75</v>
      </c>
      <c r="E309" s="446">
        <f t="shared" si="44"/>
        <v>60774.02</v>
      </c>
      <c r="F309" s="463">
        <v>20211550.649999999</v>
      </c>
      <c r="G309" s="463">
        <v>76085.13</v>
      </c>
      <c r="H309" s="443">
        <f t="shared" si="45"/>
        <v>20287635.779999997</v>
      </c>
      <c r="J309" s="672"/>
      <c r="K309" s="672"/>
      <c r="L309" s="672"/>
      <c r="M309" s="672"/>
      <c r="N309" s="672"/>
    </row>
    <row r="310" spans="1:14" hidden="1" outlineLevel="1" x14ac:dyDescent="0.25">
      <c r="A310" s="450">
        <v>2012</v>
      </c>
      <c r="B310" s="455" t="s">
        <v>222</v>
      </c>
      <c r="C310" s="466">
        <v>0</v>
      </c>
      <c r="D310" s="453">
        <v>1183.03</v>
      </c>
      <c r="E310" s="446">
        <f t="shared" si="44"/>
        <v>1183.03</v>
      </c>
      <c r="F310" s="463">
        <v>0</v>
      </c>
      <c r="G310" s="463">
        <v>433868.79999999999</v>
      </c>
      <c r="H310" s="443">
        <f t="shared" si="45"/>
        <v>433868.79999999999</v>
      </c>
      <c r="J310" s="672"/>
      <c r="K310" s="672"/>
      <c r="L310" s="672"/>
      <c r="M310" s="672"/>
      <c r="N310" s="672"/>
    </row>
    <row r="311" spans="1:14" hidden="1" outlineLevel="1" x14ac:dyDescent="0.25">
      <c r="A311" s="450">
        <v>2012</v>
      </c>
      <c r="B311" s="455" t="s">
        <v>223</v>
      </c>
      <c r="C311" s="466">
        <v>0</v>
      </c>
      <c r="D311" s="453">
        <v>27441.47</v>
      </c>
      <c r="E311" s="446">
        <f t="shared" si="44"/>
        <v>27441.47</v>
      </c>
      <c r="F311" s="463">
        <v>0</v>
      </c>
      <c r="G311" s="463">
        <v>10299435.25</v>
      </c>
      <c r="H311" s="443">
        <f t="shared" si="45"/>
        <v>10299435.25</v>
      </c>
      <c r="J311" s="672"/>
      <c r="K311" s="672"/>
      <c r="L311" s="672"/>
      <c r="M311" s="672"/>
      <c r="N311" s="672"/>
    </row>
    <row r="312" spans="1:14" hidden="1" outlineLevel="1" x14ac:dyDescent="0.25">
      <c r="A312" s="450">
        <v>2012</v>
      </c>
      <c r="B312" s="455" t="s">
        <v>228</v>
      </c>
      <c r="C312" s="466">
        <v>0</v>
      </c>
      <c r="D312" s="453">
        <v>1183.03</v>
      </c>
      <c r="E312" s="446">
        <f t="shared" si="44"/>
        <v>1183.03</v>
      </c>
      <c r="F312" s="463">
        <v>0</v>
      </c>
      <c r="G312" s="463">
        <v>433868.79999999999</v>
      </c>
      <c r="H312" s="443">
        <f t="shared" si="45"/>
        <v>433868.79999999999</v>
      </c>
      <c r="J312" s="672"/>
      <c r="K312" s="672"/>
      <c r="L312" s="672"/>
      <c r="M312" s="672"/>
      <c r="N312" s="672"/>
    </row>
    <row r="313" spans="1:14" hidden="1" outlineLevel="1" x14ac:dyDescent="0.25">
      <c r="A313" s="450">
        <v>2012</v>
      </c>
      <c r="B313" s="455" t="s">
        <v>231</v>
      </c>
      <c r="C313" s="466">
        <f>96.33+1680.51</f>
        <v>1776.84</v>
      </c>
      <c r="D313" s="453">
        <f>1098.46+259.18</f>
        <v>1357.64</v>
      </c>
      <c r="E313" s="446">
        <f t="shared" si="44"/>
        <v>3134.48</v>
      </c>
      <c r="F313" s="463">
        <v>409783.8</v>
      </c>
      <c r="G313" s="463">
        <v>711489.24</v>
      </c>
      <c r="H313" s="443">
        <f t="shared" si="45"/>
        <v>1121273.04</v>
      </c>
      <c r="J313" s="672"/>
      <c r="K313" s="672"/>
      <c r="L313" s="672"/>
      <c r="M313" s="672"/>
      <c r="N313" s="672"/>
    </row>
    <row r="314" spans="1:14" hidden="1" outlineLevel="1" x14ac:dyDescent="0.25">
      <c r="A314" s="450">
        <v>2012</v>
      </c>
      <c r="B314" s="455" t="s">
        <v>241</v>
      </c>
      <c r="C314" s="466">
        <v>0</v>
      </c>
      <c r="D314" s="453">
        <v>0</v>
      </c>
      <c r="E314" s="446">
        <f t="shared" si="44"/>
        <v>0</v>
      </c>
      <c r="F314" s="463">
        <v>0</v>
      </c>
      <c r="G314" s="463">
        <v>0</v>
      </c>
      <c r="H314" s="443">
        <f t="shared" si="45"/>
        <v>0</v>
      </c>
      <c r="J314" s="672"/>
      <c r="K314" s="672"/>
      <c r="L314" s="672"/>
      <c r="M314" s="672"/>
      <c r="N314" s="672"/>
    </row>
    <row r="315" spans="1:14" hidden="1" outlineLevel="1" x14ac:dyDescent="0.25">
      <c r="A315" s="450">
        <v>2012</v>
      </c>
      <c r="B315" s="455" t="s">
        <v>239</v>
      </c>
      <c r="C315" s="466">
        <v>0</v>
      </c>
      <c r="D315" s="453">
        <v>77.540000000000006</v>
      </c>
      <c r="E315" s="446">
        <f t="shared" si="44"/>
        <v>77.540000000000006</v>
      </c>
      <c r="F315" s="463">
        <v>0</v>
      </c>
      <c r="G315" s="463">
        <v>20578.27</v>
      </c>
      <c r="H315" s="443">
        <f t="shared" si="45"/>
        <v>20578.27</v>
      </c>
      <c r="J315" s="672"/>
      <c r="K315" s="672"/>
      <c r="L315" s="672"/>
      <c r="M315" s="672"/>
      <c r="N315" s="672"/>
    </row>
    <row r="316" spans="1:14" hidden="1" outlineLevel="1" x14ac:dyDescent="0.25">
      <c r="A316" s="450">
        <v>2012</v>
      </c>
      <c r="B316" s="455" t="s">
        <v>242</v>
      </c>
      <c r="C316" s="466">
        <v>13725.01</v>
      </c>
      <c r="D316" s="453">
        <f>279.93</f>
        <v>279.93</v>
      </c>
      <c r="E316" s="446">
        <f t="shared" si="44"/>
        <v>14004.94</v>
      </c>
      <c r="F316" s="463">
        <v>2858409.9</v>
      </c>
      <c r="G316" s="463">
        <v>35251.040000000001</v>
      </c>
      <c r="H316" s="443">
        <f t="shared" si="45"/>
        <v>2893660.94</v>
      </c>
      <c r="J316" s="672"/>
      <c r="K316" s="672"/>
      <c r="L316" s="672"/>
      <c r="M316" s="672"/>
      <c r="N316" s="672"/>
    </row>
    <row r="317" spans="1:14" hidden="1" outlineLevel="1" x14ac:dyDescent="0.25">
      <c r="A317" s="450">
        <v>2012</v>
      </c>
      <c r="B317" s="455" t="s">
        <v>244</v>
      </c>
      <c r="C317" s="466">
        <v>24644.720000000001</v>
      </c>
      <c r="D317" s="453">
        <v>0</v>
      </c>
      <c r="E317" s="446">
        <f t="shared" si="44"/>
        <v>24644.720000000001</v>
      </c>
      <c r="F317" s="463">
        <v>8742109.4900000002</v>
      </c>
      <c r="G317" s="463">
        <v>0</v>
      </c>
      <c r="H317" s="443">
        <f t="shared" si="45"/>
        <v>8742109.4900000002</v>
      </c>
      <c r="J317" s="672"/>
      <c r="K317" s="672"/>
      <c r="L317" s="672"/>
      <c r="M317" s="672"/>
      <c r="N317" s="672"/>
    </row>
    <row r="318" spans="1:14" hidden="1" outlineLevel="1" x14ac:dyDescent="0.25">
      <c r="A318" s="450">
        <v>2012</v>
      </c>
      <c r="B318" s="455" t="s">
        <v>245</v>
      </c>
      <c r="C318" s="466">
        <v>11930.85</v>
      </c>
      <c r="D318" s="453">
        <v>1672.61</v>
      </c>
      <c r="E318" s="446">
        <f t="shared" si="44"/>
        <v>13603.460000000001</v>
      </c>
      <c r="F318" s="463">
        <v>3386630.12</v>
      </c>
      <c r="G318" s="463">
        <v>427773.01000000007</v>
      </c>
      <c r="H318" s="443">
        <f t="shared" si="45"/>
        <v>3814403.1300000004</v>
      </c>
      <c r="J318" s="672"/>
      <c r="K318" s="672"/>
      <c r="L318" s="672"/>
      <c r="M318" s="672"/>
      <c r="N318" s="672"/>
    </row>
    <row r="319" spans="1:14" hidden="1" outlineLevel="1" x14ac:dyDescent="0.25">
      <c r="A319" s="450">
        <v>2012</v>
      </c>
      <c r="B319" s="455" t="s">
        <v>246</v>
      </c>
      <c r="C319" s="466">
        <v>1173.45</v>
      </c>
      <c r="D319" s="453">
        <v>0</v>
      </c>
      <c r="E319" s="446">
        <f t="shared" si="44"/>
        <v>1173.45</v>
      </c>
      <c r="F319" s="463">
        <v>358110.70999999996</v>
      </c>
      <c r="G319" s="463">
        <v>0</v>
      </c>
      <c r="H319" s="443">
        <f t="shared" si="45"/>
        <v>358110.70999999996</v>
      </c>
      <c r="J319" s="672"/>
      <c r="K319" s="672"/>
      <c r="L319" s="672"/>
      <c r="M319" s="672"/>
      <c r="N319" s="672"/>
    </row>
    <row r="320" spans="1:14" hidden="1" outlineLevel="1" x14ac:dyDescent="0.25">
      <c r="A320" s="450">
        <v>2012</v>
      </c>
      <c r="B320" s="455" t="s">
        <v>248</v>
      </c>
      <c r="C320" s="466">
        <v>9118.18</v>
      </c>
      <c r="D320" s="453">
        <v>0</v>
      </c>
      <c r="E320" s="446">
        <f t="shared" si="44"/>
        <v>9118.18</v>
      </c>
      <c r="F320" s="463">
        <v>3070768.5700000003</v>
      </c>
      <c r="G320" s="463">
        <v>0</v>
      </c>
      <c r="H320" s="443">
        <f t="shared" si="45"/>
        <v>3070768.5700000003</v>
      </c>
      <c r="J320" s="672"/>
      <c r="K320" s="672"/>
      <c r="L320" s="672"/>
      <c r="M320" s="672"/>
      <c r="N320" s="672"/>
    </row>
    <row r="321" spans="1:14" hidden="1" outlineLevel="1" x14ac:dyDescent="0.25">
      <c r="A321" s="450">
        <v>2012</v>
      </c>
      <c r="B321" s="455" t="s">
        <v>252</v>
      </c>
      <c r="C321" s="466">
        <v>236.68</v>
      </c>
      <c r="D321" s="453">
        <v>0</v>
      </c>
      <c r="E321" s="446">
        <f t="shared" si="44"/>
        <v>236.68</v>
      </c>
      <c r="F321" s="463">
        <v>28401.3</v>
      </c>
      <c r="G321" s="463">
        <v>0</v>
      </c>
      <c r="H321" s="443">
        <f t="shared" si="45"/>
        <v>28401.3</v>
      </c>
      <c r="J321" s="672"/>
      <c r="K321" s="672"/>
      <c r="L321" s="672"/>
      <c r="M321" s="672"/>
      <c r="N321" s="672"/>
    </row>
    <row r="322" spans="1:14" hidden="1" outlineLevel="1" x14ac:dyDescent="0.25">
      <c r="A322" s="450">
        <v>2012</v>
      </c>
      <c r="B322" s="455" t="s">
        <v>224</v>
      </c>
      <c r="C322" s="466">
        <f>42094.43+18880.01</f>
        <v>60974.44</v>
      </c>
      <c r="D322" s="453">
        <v>0</v>
      </c>
      <c r="E322" s="446">
        <f t="shared" si="44"/>
        <v>60974.44</v>
      </c>
      <c r="F322" s="463">
        <v>9521358.4800000004</v>
      </c>
      <c r="G322" s="463">
        <v>0</v>
      </c>
      <c r="H322" s="443">
        <f t="shared" si="45"/>
        <v>9521358.4800000004</v>
      </c>
      <c r="J322" s="672"/>
      <c r="K322" s="672"/>
      <c r="L322" s="672"/>
      <c r="M322" s="672"/>
      <c r="N322" s="672"/>
    </row>
    <row r="323" spans="1:14" ht="14.4" hidden="1" outlineLevel="1" thickBot="1" x14ac:dyDescent="0.3">
      <c r="A323" s="450">
        <v>2012</v>
      </c>
      <c r="B323" s="455" t="s">
        <v>259</v>
      </c>
      <c r="C323" s="465">
        <f>30593.29+1107.77</f>
        <v>31701.06</v>
      </c>
      <c r="D323" s="464">
        <v>0</v>
      </c>
      <c r="E323" s="446">
        <f t="shared" si="44"/>
        <v>31701.06</v>
      </c>
      <c r="F323" s="463">
        <v>12331082.119999999</v>
      </c>
      <c r="G323" s="463">
        <v>0</v>
      </c>
      <c r="H323" s="443">
        <f t="shared" si="45"/>
        <v>12331082.119999999</v>
      </c>
      <c r="J323" s="672"/>
      <c r="K323" s="672"/>
      <c r="L323" s="672"/>
      <c r="M323" s="672"/>
      <c r="N323" s="672"/>
    </row>
    <row r="324" spans="1:14" ht="15" collapsed="1" thickTop="1" thickBot="1" x14ac:dyDescent="0.3">
      <c r="A324" s="629">
        <v>2012</v>
      </c>
      <c r="B324" s="627" t="s">
        <v>403</v>
      </c>
      <c r="C324" s="633">
        <f>SUM(C307:C323)</f>
        <v>229907.00999999998</v>
      </c>
      <c r="D324" s="646">
        <f>SUM(D307:D323)</f>
        <v>33433</v>
      </c>
      <c r="E324" s="649">
        <f t="shared" si="44"/>
        <v>263340.01</v>
      </c>
      <c r="F324" s="637">
        <f>SUM(F307:F323)</f>
        <v>65265765.949999996</v>
      </c>
      <c r="G324" s="643">
        <f>SUM(G307:G323)</f>
        <v>12438349.539999999</v>
      </c>
      <c r="H324" s="652">
        <f t="shared" si="45"/>
        <v>77704115.489999995</v>
      </c>
      <c r="I324" s="672">
        <f>+'TAB1.0 Accomplshmnt by District'!E201-C324</f>
        <v>784.45999999999185</v>
      </c>
      <c r="J324" s="672">
        <f>+'TAB1.0 Accomplshmnt by District'!G201-D324</f>
        <v>-1183.0299999999988</v>
      </c>
      <c r="K324" s="672">
        <f>+'TAB1.0 Accomplshmnt by District'!I201-E324</f>
        <v>-398.57000000006519</v>
      </c>
      <c r="L324" s="672">
        <f>+'TAB1.0 Accomplshmnt by District'!J201-F324</f>
        <v>6045546.9800000265</v>
      </c>
      <c r="M324" s="672">
        <f>+'TAB1.0 Accomplshmnt by District'!L201-G324</f>
        <v>-433868.80000000075</v>
      </c>
      <c r="N324" s="672">
        <f>+'TAB1.0 Accomplshmnt by District'!N201-H324</f>
        <v>5611678.1800000221</v>
      </c>
    </row>
    <row r="325" spans="1:14" ht="14.4" hidden="1" outlineLevel="1" thickTop="1" x14ac:dyDescent="0.25">
      <c r="A325" s="450">
        <v>2013</v>
      </c>
      <c r="B325" s="460" t="s">
        <v>214</v>
      </c>
      <c r="C325" s="459">
        <v>3982.81</v>
      </c>
      <c r="D325" s="458">
        <v>0</v>
      </c>
      <c r="E325" s="446">
        <f t="shared" si="44"/>
        <v>3982.81</v>
      </c>
      <c r="F325" s="457">
        <v>1185229.69</v>
      </c>
      <c r="G325" s="456">
        <v>0</v>
      </c>
      <c r="H325" s="443">
        <f t="shared" si="45"/>
        <v>1185229.69</v>
      </c>
      <c r="J325" s="672"/>
      <c r="K325" s="672"/>
      <c r="L325" s="672"/>
      <c r="M325" s="672"/>
      <c r="N325" s="672"/>
    </row>
    <row r="326" spans="1:14" hidden="1" outlineLevel="1" x14ac:dyDescent="0.25">
      <c r="A326" s="450">
        <v>2013</v>
      </c>
      <c r="B326" s="455" t="s">
        <v>216</v>
      </c>
      <c r="C326" s="454">
        <v>25.62</v>
      </c>
      <c r="D326" s="453">
        <v>0</v>
      </c>
      <c r="E326" s="446">
        <f t="shared" si="44"/>
        <v>25.62</v>
      </c>
      <c r="F326" s="452">
        <v>5181.45</v>
      </c>
      <c r="G326" s="451">
        <v>0</v>
      </c>
      <c r="H326" s="443">
        <f t="shared" si="45"/>
        <v>5181.45</v>
      </c>
      <c r="J326" s="672"/>
      <c r="K326" s="672"/>
      <c r="L326" s="672"/>
      <c r="M326" s="672"/>
      <c r="N326" s="672"/>
    </row>
    <row r="327" spans="1:14" hidden="1" outlineLevel="1" x14ac:dyDescent="0.25">
      <c r="A327" s="450">
        <v>2013</v>
      </c>
      <c r="B327" s="455" t="s">
        <v>219</v>
      </c>
      <c r="C327" s="454">
        <v>79233.67</v>
      </c>
      <c r="D327" s="453">
        <v>26.3</v>
      </c>
      <c r="E327" s="446">
        <f t="shared" si="44"/>
        <v>79259.97</v>
      </c>
      <c r="F327" s="452">
        <v>28524544.899999999</v>
      </c>
      <c r="G327" s="451">
        <v>9889.7099999999991</v>
      </c>
      <c r="H327" s="443">
        <f t="shared" si="45"/>
        <v>28534434.609999999</v>
      </c>
      <c r="J327" s="672"/>
      <c r="K327" s="672"/>
      <c r="L327" s="672"/>
      <c r="M327" s="672"/>
      <c r="N327" s="672"/>
    </row>
    <row r="328" spans="1:14" hidden="1" outlineLevel="1" x14ac:dyDescent="0.25">
      <c r="A328" s="450">
        <v>2013</v>
      </c>
      <c r="B328" s="455" t="s">
        <v>222</v>
      </c>
      <c r="C328" s="454">
        <v>1732.02</v>
      </c>
      <c r="D328" s="453">
        <v>0</v>
      </c>
      <c r="E328" s="446">
        <f t="shared" si="44"/>
        <v>1732.02</v>
      </c>
      <c r="F328" s="452">
        <v>780943.29</v>
      </c>
      <c r="G328" s="451">
        <v>0</v>
      </c>
      <c r="H328" s="443">
        <f t="shared" si="45"/>
        <v>780943.29</v>
      </c>
      <c r="J328" s="672"/>
      <c r="K328" s="672"/>
      <c r="L328" s="672"/>
      <c r="M328" s="672"/>
      <c r="N328" s="672"/>
    </row>
    <row r="329" spans="1:14" hidden="1" outlineLevel="1" x14ac:dyDescent="0.25">
      <c r="A329" s="450">
        <v>2013</v>
      </c>
      <c r="B329" s="455" t="s">
        <v>223</v>
      </c>
      <c r="C329" s="454">
        <v>0</v>
      </c>
      <c r="D329" s="453">
        <v>4304</v>
      </c>
      <c r="E329" s="446">
        <f t="shared" si="44"/>
        <v>4304</v>
      </c>
      <c r="F329" s="452">
        <v>0</v>
      </c>
      <c r="G329" s="451">
        <v>1606931.93</v>
      </c>
      <c r="H329" s="443">
        <f t="shared" si="45"/>
        <v>1606931.93</v>
      </c>
      <c r="J329" s="672"/>
      <c r="K329" s="672"/>
      <c r="L329" s="672"/>
      <c r="M329" s="672"/>
      <c r="N329" s="672"/>
    </row>
    <row r="330" spans="1:14" hidden="1" outlineLevel="1" x14ac:dyDescent="0.25">
      <c r="A330" s="450">
        <v>2013</v>
      </c>
      <c r="B330" s="455" t="s">
        <v>228</v>
      </c>
      <c r="C330" s="454">
        <v>0</v>
      </c>
      <c r="D330" s="453">
        <v>831.08</v>
      </c>
      <c r="E330" s="446">
        <f t="shared" si="44"/>
        <v>831.08</v>
      </c>
      <c r="F330" s="452">
        <v>0</v>
      </c>
      <c r="G330" s="451">
        <v>141160.76999999999</v>
      </c>
      <c r="H330" s="443">
        <f t="shared" si="45"/>
        <v>141160.76999999999</v>
      </c>
      <c r="J330" s="672"/>
      <c r="K330" s="672"/>
      <c r="L330" s="672"/>
      <c r="M330" s="672"/>
      <c r="N330" s="672"/>
    </row>
    <row r="331" spans="1:14" hidden="1" outlineLevel="1" x14ac:dyDescent="0.25">
      <c r="A331" s="450">
        <v>2013</v>
      </c>
      <c r="B331" s="455" t="s">
        <v>231</v>
      </c>
      <c r="C331" s="454">
        <v>1310.91</v>
      </c>
      <c r="D331" s="453">
        <v>1083.83</v>
      </c>
      <c r="E331" s="446">
        <f t="shared" si="44"/>
        <v>2394.7399999999998</v>
      </c>
      <c r="F331" s="452">
        <v>216207.77</v>
      </c>
      <c r="G331" s="451">
        <f>306317.43+65613.85</f>
        <v>371931.28</v>
      </c>
      <c r="H331" s="443">
        <f t="shared" si="45"/>
        <v>588139.05000000005</v>
      </c>
      <c r="J331" s="672"/>
      <c r="K331" s="672"/>
      <c r="L331" s="672"/>
      <c r="M331" s="672"/>
      <c r="N331" s="672"/>
    </row>
    <row r="332" spans="1:14" hidden="1" outlineLevel="1" x14ac:dyDescent="0.25">
      <c r="A332" s="450">
        <v>2013</v>
      </c>
      <c r="B332" s="455" t="s">
        <v>239</v>
      </c>
      <c r="C332" s="454">
        <v>0</v>
      </c>
      <c r="D332" s="453">
        <v>1026.21</v>
      </c>
      <c r="E332" s="446">
        <f t="shared" si="44"/>
        <v>1026.21</v>
      </c>
      <c r="F332" s="452">
        <v>0</v>
      </c>
      <c r="G332" s="451">
        <v>273322.48</v>
      </c>
      <c r="H332" s="443">
        <f t="shared" si="45"/>
        <v>273322.48</v>
      </c>
      <c r="J332" s="672"/>
      <c r="K332" s="672"/>
      <c r="L332" s="672"/>
      <c r="M332" s="672"/>
      <c r="N332" s="672"/>
    </row>
    <row r="333" spans="1:14" hidden="1" outlineLevel="1" x14ac:dyDescent="0.25">
      <c r="A333" s="450">
        <v>2013</v>
      </c>
      <c r="B333" s="455" t="s">
        <v>241</v>
      </c>
      <c r="C333" s="454">
        <v>0</v>
      </c>
      <c r="D333" s="453">
        <v>0</v>
      </c>
      <c r="E333" s="446">
        <f t="shared" si="44"/>
        <v>0</v>
      </c>
      <c r="F333" s="452">
        <v>0</v>
      </c>
      <c r="G333" s="451">
        <v>0</v>
      </c>
      <c r="H333" s="443">
        <f t="shared" si="45"/>
        <v>0</v>
      </c>
      <c r="J333" s="672"/>
      <c r="K333" s="672"/>
      <c r="L333" s="672"/>
      <c r="M333" s="672"/>
      <c r="N333" s="672"/>
    </row>
    <row r="334" spans="1:14" hidden="1" outlineLevel="1" x14ac:dyDescent="0.25">
      <c r="A334" s="450">
        <v>2013</v>
      </c>
      <c r="B334" s="455" t="s">
        <v>242</v>
      </c>
      <c r="C334" s="454">
        <v>10900</v>
      </c>
      <c r="D334" s="453">
        <v>1747</v>
      </c>
      <c r="E334" s="446">
        <f t="shared" si="44"/>
        <v>12647</v>
      </c>
      <c r="F334" s="452">
        <f>2036296.08+40230.88</f>
        <v>2076526.96</v>
      </c>
      <c r="G334" s="451">
        <v>217870</v>
      </c>
      <c r="H334" s="443">
        <f t="shared" si="45"/>
        <v>2294396.96</v>
      </c>
      <c r="J334" s="672"/>
      <c r="K334" s="672"/>
      <c r="L334" s="672"/>
      <c r="M334" s="672"/>
      <c r="N334" s="672"/>
    </row>
    <row r="335" spans="1:14" hidden="1" outlineLevel="1" x14ac:dyDescent="0.25">
      <c r="A335" s="450">
        <v>2013</v>
      </c>
      <c r="B335" s="455" t="s">
        <v>244</v>
      </c>
      <c r="C335" s="454">
        <v>13740.77</v>
      </c>
      <c r="D335" s="453">
        <v>0</v>
      </c>
      <c r="E335" s="446">
        <f t="shared" si="44"/>
        <v>13740.77</v>
      </c>
      <c r="F335" s="452">
        <f>5396401+40230.88</f>
        <v>5436631.8799999999</v>
      </c>
      <c r="G335" s="451">
        <v>0</v>
      </c>
      <c r="H335" s="443">
        <f t="shared" si="45"/>
        <v>5436631.8799999999</v>
      </c>
      <c r="J335" s="672"/>
      <c r="K335" s="672"/>
      <c r="L335" s="672"/>
      <c r="M335" s="672"/>
      <c r="N335" s="672"/>
    </row>
    <row r="336" spans="1:14" hidden="1" outlineLevel="1" x14ac:dyDescent="0.25">
      <c r="A336" s="450">
        <v>2013</v>
      </c>
      <c r="B336" s="455" t="s">
        <v>245</v>
      </c>
      <c r="C336" s="454">
        <v>5497.73</v>
      </c>
      <c r="D336" s="453">
        <v>468.46</v>
      </c>
      <c r="E336" s="446">
        <f t="shared" si="44"/>
        <v>5966.19</v>
      </c>
      <c r="F336" s="452">
        <v>2034688.39</v>
      </c>
      <c r="G336" s="451">
        <v>162532.78</v>
      </c>
      <c r="H336" s="443">
        <f t="shared" si="45"/>
        <v>2197221.17</v>
      </c>
      <c r="J336" s="672"/>
      <c r="K336" s="672"/>
      <c r="L336" s="672"/>
      <c r="M336" s="672"/>
      <c r="N336" s="672"/>
    </row>
    <row r="337" spans="1:14" hidden="1" outlineLevel="1" x14ac:dyDescent="0.25">
      <c r="A337" s="450">
        <v>2013</v>
      </c>
      <c r="B337" s="455" t="s">
        <v>246</v>
      </c>
      <c r="C337" s="454">
        <v>4164.42</v>
      </c>
      <c r="D337" s="453"/>
      <c r="E337" s="446">
        <f t="shared" si="44"/>
        <v>4164.42</v>
      </c>
      <c r="F337" s="452">
        <v>1896022.27</v>
      </c>
      <c r="G337" s="451">
        <v>0</v>
      </c>
      <c r="H337" s="443">
        <f t="shared" si="45"/>
        <v>1896022.27</v>
      </c>
      <c r="J337" s="672"/>
      <c r="K337" s="672"/>
      <c r="L337" s="672"/>
      <c r="M337" s="672"/>
      <c r="N337" s="672"/>
    </row>
    <row r="338" spans="1:14" hidden="1" outlineLevel="1" x14ac:dyDescent="0.25">
      <c r="A338" s="450">
        <v>2013</v>
      </c>
      <c r="B338" s="455" t="s">
        <v>248</v>
      </c>
      <c r="C338" s="454">
        <v>242.3</v>
      </c>
      <c r="D338" s="453">
        <v>1064</v>
      </c>
      <c r="E338" s="446">
        <f t="shared" si="44"/>
        <v>1306.3</v>
      </c>
      <c r="F338" s="452">
        <v>0</v>
      </c>
      <c r="G338" s="451">
        <v>516176.5</v>
      </c>
      <c r="H338" s="443">
        <f t="shared" si="45"/>
        <v>516176.5</v>
      </c>
      <c r="J338" s="672"/>
      <c r="K338" s="672"/>
      <c r="L338" s="672"/>
      <c r="M338" s="672"/>
      <c r="N338" s="672"/>
    </row>
    <row r="339" spans="1:14" hidden="1" outlineLevel="1" x14ac:dyDescent="0.25">
      <c r="A339" s="450">
        <v>2013</v>
      </c>
      <c r="B339" s="455" t="s">
        <v>252</v>
      </c>
      <c r="C339" s="454">
        <v>1750.57</v>
      </c>
      <c r="D339" s="453">
        <v>765.38</v>
      </c>
      <c r="E339" s="446">
        <f t="shared" si="44"/>
        <v>2515.9499999999998</v>
      </c>
      <c r="F339" s="452">
        <v>678213.86</v>
      </c>
      <c r="G339" s="451">
        <v>299214.59000000003</v>
      </c>
      <c r="H339" s="443">
        <f t="shared" ref="H339:H359" si="46">F339+G339</f>
        <v>977428.45</v>
      </c>
      <c r="J339" s="672"/>
      <c r="K339" s="672"/>
      <c r="L339" s="672"/>
      <c r="M339" s="672"/>
      <c r="N339" s="672"/>
    </row>
    <row r="340" spans="1:14" hidden="1" outlineLevel="1" x14ac:dyDescent="0.25">
      <c r="A340" s="450">
        <v>2013</v>
      </c>
      <c r="B340" s="455" t="s">
        <v>224</v>
      </c>
      <c r="C340" s="454">
        <v>80652</v>
      </c>
      <c r="D340" s="453">
        <v>0</v>
      </c>
      <c r="E340" s="446">
        <f t="shared" si="44"/>
        <v>80652</v>
      </c>
      <c r="F340" s="452">
        <f>13759865.81+11015383.67</f>
        <v>24775249.48</v>
      </c>
      <c r="G340" s="451">
        <v>0</v>
      </c>
      <c r="H340" s="443">
        <f t="shared" si="46"/>
        <v>24775249.48</v>
      </c>
      <c r="J340" s="672"/>
      <c r="K340" s="672"/>
      <c r="L340" s="672"/>
      <c r="M340" s="672"/>
      <c r="N340" s="672"/>
    </row>
    <row r="341" spans="1:14" ht="14.4" hidden="1" outlineLevel="1" thickBot="1" x14ac:dyDescent="0.3">
      <c r="A341" s="461">
        <v>2013</v>
      </c>
      <c r="B341" s="449" t="s">
        <v>259</v>
      </c>
      <c r="C341" s="448">
        <v>26255</v>
      </c>
      <c r="D341" s="447">
        <v>0</v>
      </c>
      <c r="E341" s="462">
        <f t="shared" si="44"/>
        <v>26255</v>
      </c>
      <c r="F341" s="445">
        <f>11563993.47+38237.93</f>
        <v>11602231.4</v>
      </c>
      <c r="G341" s="444">
        <v>0</v>
      </c>
      <c r="H341" s="443">
        <f t="shared" si="46"/>
        <v>11602231.4</v>
      </c>
      <c r="J341" s="672"/>
      <c r="K341" s="672"/>
      <c r="L341" s="672"/>
      <c r="M341" s="672"/>
      <c r="N341" s="672"/>
    </row>
    <row r="342" spans="1:14" ht="15" collapsed="1" thickTop="1" thickBot="1" x14ac:dyDescent="0.3">
      <c r="A342" s="630">
        <v>2013</v>
      </c>
      <c r="B342" s="631" t="s">
        <v>403</v>
      </c>
      <c r="C342" s="635">
        <f>SUM(C325:C341)</f>
        <v>229487.82</v>
      </c>
      <c r="D342" s="645">
        <f>SUM(D325:D341)</f>
        <v>11316.259999999998</v>
      </c>
      <c r="E342" s="651">
        <f>SUM(E325:E341)</f>
        <v>240804.08000000002</v>
      </c>
      <c r="F342" s="636">
        <f>SUM(F325:F341)</f>
        <v>79211671.340000004</v>
      </c>
      <c r="G342" s="644">
        <f>SUM(G325:G341)</f>
        <v>3599030.0399999996</v>
      </c>
      <c r="H342" s="652">
        <f t="shared" si="46"/>
        <v>82810701.38000001</v>
      </c>
      <c r="I342" s="672">
        <f>+'TAB1.0 Accomplshmnt by District'!E211-C342</f>
        <v>-5.0000000017462298E-2</v>
      </c>
      <c r="J342" s="672">
        <f>+'TAB1.0 Accomplshmnt by District'!G211-D342</f>
        <v>-240.0199999999968</v>
      </c>
      <c r="K342" s="672">
        <f>+'TAB1.0 Accomplshmnt by District'!I211-E342</f>
        <v>-240.07000000003609</v>
      </c>
      <c r="L342" s="672">
        <f>+'TAB1.0 Accomplshmnt by District'!J211-F342</f>
        <v>54723.529999986291</v>
      </c>
      <c r="M342" s="672">
        <f>+'TAB1.0 Accomplshmnt by District'!L211-G342</f>
        <v>-0.25999999931082129</v>
      </c>
      <c r="N342" s="672">
        <f>+'TAB1.0 Accomplshmnt by District'!N211-H342</f>
        <v>54723.269999980927</v>
      </c>
    </row>
    <row r="343" spans="1:14" ht="14.4" hidden="1" outlineLevel="1" thickTop="1" x14ac:dyDescent="0.25">
      <c r="A343" s="450">
        <v>2014</v>
      </c>
      <c r="B343" s="460" t="s">
        <v>214</v>
      </c>
      <c r="C343" s="459">
        <v>232.63</v>
      </c>
      <c r="D343" s="458">
        <v>0</v>
      </c>
      <c r="E343" s="446">
        <f t="shared" ref="E343:E359" si="47">C343+D343</f>
        <v>232.63</v>
      </c>
      <c r="F343" s="457">
        <v>45156.62</v>
      </c>
      <c r="G343" s="456">
        <v>0</v>
      </c>
      <c r="H343" s="443">
        <f t="shared" si="46"/>
        <v>45156.62</v>
      </c>
      <c r="J343" s="672"/>
      <c r="K343" s="672"/>
      <c r="L343" s="672"/>
      <c r="M343" s="672"/>
      <c r="N343" s="672"/>
    </row>
    <row r="344" spans="1:14" hidden="1" outlineLevel="1" x14ac:dyDescent="0.25">
      <c r="A344" s="450">
        <v>2014</v>
      </c>
      <c r="B344" s="455" t="s">
        <v>216</v>
      </c>
      <c r="C344" s="454">
        <v>0</v>
      </c>
      <c r="D344" s="453">
        <v>0</v>
      </c>
      <c r="E344" s="446">
        <f t="shared" si="47"/>
        <v>0</v>
      </c>
      <c r="F344" s="452">
        <v>0</v>
      </c>
      <c r="G344" s="451">
        <v>0</v>
      </c>
      <c r="H344" s="443">
        <f t="shared" si="46"/>
        <v>0</v>
      </c>
      <c r="J344" s="672"/>
      <c r="K344" s="672"/>
      <c r="L344" s="672"/>
      <c r="M344" s="672"/>
      <c r="N344" s="672"/>
    </row>
    <row r="345" spans="1:14" hidden="1" outlineLevel="1" x14ac:dyDescent="0.25">
      <c r="A345" s="450">
        <v>2014</v>
      </c>
      <c r="B345" s="455" t="s">
        <v>219</v>
      </c>
      <c r="C345" s="454">
        <v>54704.81</v>
      </c>
      <c r="D345" s="453">
        <v>9.07</v>
      </c>
      <c r="E345" s="446">
        <f t="shared" si="47"/>
        <v>54713.88</v>
      </c>
      <c r="F345" s="452">
        <f>19898779.19+117051.23</f>
        <v>20015830.420000002</v>
      </c>
      <c r="G345" s="451">
        <v>0</v>
      </c>
      <c r="H345" s="443">
        <f t="shared" si="46"/>
        <v>20015830.420000002</v>
      </c>
      <c r="J345" s="672"/>
      <c r="K345" s="672"/>
      <c r="L345" s="672"/>
      <c r="M345" s="672"/>
      <c r="N345" s="672"/>
    </row>
    <row r="346" spans="1:14" hidden="1" outlineLevel="1" x14ac:dyDescent="0.25">
      <c r="A346" s="450">
        <v>2014</v>
      </c>
      <c r="B346" s="455" t="s">
        <v>222</v>
      </c>
      <c r="C346" s="454">
        <v>558.02</v>
      </c>
      <c r="D346" s="453">
        <v>0</v>
      </c>
      <c r="E346" s="446">
        <f t="shared" si="47"/>
        <v>558.02</v>
      </c>
      <c r="F346" s="452">
        <v>251481.21</v>
      </c>
      <c r="G346" s="451">
        <v>0</v>
      </c>
      <c r="H346" s="443">
        <f t="shared" si="46"/>
        <v>251481.21</v>
      </c>
      <c r="J346" s="672"/>
      <c r="K346" s="672"/>
      <c r="L346" s="672"/>
      <c r="M346" s="672"/>
      <c r="N346" s="672"/>
    </row>
    <row r="347" spans="1:14" hidden="1" outlineLevel="1" x14ac:dyDescent="0.25">
      <c r="A347" s="450">
        <v>2014</v>
      </c>
      <c r="B347" s="455" t="s">
        <v>223</v>
      </c>
      <c r="C347" s="454">
        <v>0</v>
      </c>
      <c r="D347" s="453">
        <v>0</v>
      </c>
      <c r="E347" s="446">
        <f t="shared" si="47"/>
        <v>0</v>
      </c>
      <c r="F347" s="452">
        <v>0</v>
      </c>
      <c r="G347" s="451">
        <v>0</v>
      </c>
      <c r="H347" s="443">
        <f t="shared" si="46"/>
        <v>0</v>
      </c>
      <c r="J347" s="672"/>
      <c r="K347" s="672"/>
      <c r="L347" s="672"/>
      <c r="M347" s="672"/>
      <c r="N347" s="672"/>
    </row>
    <row r="348" spans="1:14" hidden="1" outlineLevel="1" x14ac:dyDescent="0.25">
      <c r="A348" s="450">
        <v>2014</v>
      </c>
      <c r="B348" s="455" t="s">
        <v>228</v>
      </c>
      <c r="C348" s="454">
        <v>0</v>
      </c>
      <c r="D348" s="453">
        <v>0</v>
      </c>
      <c r="E348" s="446">
        <f t="shared" si="47"/>
        <v>0</v>
      </c>
      <c r="F348" s="452">
        <v>0</v>
      </c>
      <c r="G348" s="451">
        <v>0</v>
      </c>
      <c r="H348" s="443">
        <f t="shared" si="46"/>
        <v>0</v>
      </c>
      <c r="J348" s="672"/>
      <c r="K348" s="672"/>
      <c r="L348" s="672"/>
      <c r="M348" s="672"/>
      <c r="N348" s="672"/>
    </row>
    <row r="349" spans="1:14" hidden="1" outlineLevel="1" x14ac:dyDescent="0.25">
      <c r="A349" s="450">
        <v>2014</v>
      </c>
      <c r="B349" s="455" t="s">
        <v>231</v>
      </c>
      <c r="C349" s="454">
        <v>767</v>
      </c>
      <c r="D349" s="453">
        <f>6956.86+9.11</f>
        <v>6965.9699999999993</v>
      </c>
      <c r="E349" s="446">
        <f t="shared" si="47"/>
        <v>7732.9699999999993</v>
      </c>
      <c r="F349" s="452">
        <v>227422.5</v>
      </c>
      <c r="G349" s="451">
        <f>2524725.08+2613.21</f>
        <v>2527338.29</v>
      </c>
      <c r="H349" s="443">
        <f t="shared" si="46"/>
        <v>2754760.79</v>
      </c>
      <c r="J349" s="672"/>
      <c r="K349" s="672"/>
      <c r="L349" s="672"/>
      <c r="M349" s="672"/>
      <c r="N349" s="672"/>
    </row>
    <row r="350" spans="1:14" hidden="1" outlineLevel="1" x14ac:dyDescent="0.25">
      <c r="A350" s="450">
        <v>2014</v>
      </c>
      <c r="B350" s="455" t="s">
        <v>239</v>
      </c>
      <c r="C350" s="454">
        <v>0</v>
      </c>
      <c r="D350" s="453">
        <v>488.4</v>
      </c>
      <c r="E350" s="446">
        <f t="shared" si="47"/>
        <v>488.4</v>
      </c>
      <c r="F350" s="452">
        <v>0</v>
      </c>
      <c r="G350" s="451">
        <v>117449.35</v>
      </c>
      <c r="H350" s="443">
        <f t="shared" si="46"/>
        <v>117449.35</v>
      </c>
      <c r="J350" s="672"/>
      <c r="K350" s="672"/>
      <c r="L350" s="672"/>
      <c r="M350" s="672"/>
      <c r="N350" s="672"/>
    </row>
    <row r="351" spans="1:14" hidden="1" outlineLevel="1" x14ac:dyDescent="0.25">
      <c r="A351" s="450">
        <v>2014</v>
      </c>
      <c r="B351" s="455" t="s">
        <v>241</v>
      </c>
      <c r="C351" s="454">
        <v>0</v>
      </c>
      <c r="D351" s="453">
        <v>27.62</v>
      </c>
      <c r="E351" s="446">
        <f t="shared" si="47"/>
        <v>27.62</v>
      </c>
      <c r="F351" s="452">
        <v>0</v>
      </c>
      <c r="G351" s="451">
        <v>9041.31</v>
      </c>
      <c r="H351" s="443">
        <f t="shared" si="46"/>
        <v>9041.31</v>
      </c>
      <c r="J351" s="672"/>
      <c r="K351" s="672"/>
      <c r="L351" s="672"/>
      <c r="M351" s="672"/>
      <c r="N351" s="672"/>
    </row>
    <row r="352" spans="1:14" hidden="1" outlineLevel="1" x14ac:dyDescent="0.25">
      <c r="A352" s="450">
        <v>2014</v>
      </c>
      <c r="B352" s="455" t="s">
        <v>242</v>
      </c>
      <c r="C352" s="454">
        <v>8760</v>
      </c>
      <c r="D352" s="453">
        <v>0</v>
      </c>
      <c r="E352" s="446">
        <f t="shared" si="47"/>
        <v>8760</v>
      </c>
      <c r="F352" s="452">
        <v>1834287.62</v>
      </c>
      <c r="G352" s="451">
        <v>0</v>
      </c>
      <c r="H352" s="443">
        <f t="shared" si="46"/>
        <v>1834287.62</v>
      </c>
      <c r="J352" s="672"/>
      <c r="K352" s="672"/>
      <c r="L352" s="672"/>
      <c r="M352" s="672"/>
      <c r="N352" s="672"/>
    </row>
    <row r="353" spans="1:14" hidden="1" outlineLevel="1" x14ac:dyDescent="0.25">
      <c r="A353" s="450">
        <v>2014</v>
      </c>
      <c r="B353" s="455" t="s">
        <v>244</v>
      </c>
      <c r="C353" s="454">
        <v>8483</v>
      </c>
      <c r="D353" s="453">
        <v>2498.11</v>
      </c>
      <c r="E353" s="446">
        <f t="shared" si="47"/>
        <v>10981.11</v>
      </c>
      <c r="F353" s="452">
        <v>4219214.87</v>
      </c>
      <c r="G353" s="451">
        <v>1052635.93</v>
      </c>
      <c r="H353" s="443">
        <f t="shared" si="46"/>
        <v>5271850.8</v>
      </c>
      <c r="J353" s="672"/>
      <c r="K353" s="672"/>
      <c r="L353" s="672"/>
      <c r="M353" s="672"/>
      <c r="N353" s="672"/>
    </row>
    <row r="354" spans="1:14" hidden="1" outlineLevel="1" x14ac:dyDescent="0.25">
      <c r="A354" s="450">
        <v>2014</v>
      </c>
      <c r="B354" s="455" t="s">
        <v>245</v>
      </c>
      <c r="C354" s="454">
        <v>1865</v>
      </c>
      <c r="D354" s="453">
        <v>890.92</v>
      </c>
      <c r="E354" s="446">
        <f t="shared" si="47"/>
        <v>2755.92</v>
      </c>
      <c r="F354" s="452">
        <v>753146.82</v>
      </c>
      <c r="G354" s="451">
        <v>305540.40999999997</v>
      </c>
      <c r="H354" s="443">
        <f t="shared" si="46"/>
        <v>1058687.23</v>
      </c>
      <c r="J354" s="672"/>
      <c r="K354" s="672"/>
      <c r="L354" s="672"/>
      <c r="M354" s="672"/>
      <c r="N354" s="672"/>
    </row>
    <row r="355" spans="1:14" hidden="1" outlineLevel="1" x14ac:dyDescent="0.25">
      <c r="A355" s="450">
        <v>2014</v>
      </c>
      <c r="B355" s="455" t="s">
        <v>246</v>
      </c>
      <c r="C355" s="454">
        <v>20560</v>
      </c>
      <c r="D355" s="453">
        <v>0</v>
      </c>
      <c r="E355" s="446">
        <f t="shared" si="47"/>
        <v>20560</v>
      </c>
      <c r="F355" s="452">
        <v>9493969.3100000005</v>
      </c>
      <c r="G355" s="451">
        <v>0</v>
      </c>
      <c r="H355" s="443">
        <f t="shared" si="46"/>
        <v>9493969.3100000005</v>
      </c>
      <c r="J355" s="672"/>
      <c r="K355" s="672"/>
      <c r="L355" s="672"/>
      <c r="M355" s="672"/>
      <c r="N355" s="672"/>
    </row>
    <row r="356" spans="1:14" hidden="1" outlineLevel="1" x14ac:dyDescent="0.25">
      <c r="A356" s="450">
        <v>2014</v>
      </c>
      <c r="B356" s="455" t="s">
        <v>248</v>
      </c>
      <c r="C356" s="454">
        <v>1596</v>
      </c>
      <c r="D356" s="453">
        <v>0</v>
      </c>
      <c r="E356" s="446">
        <f t="shared" si="47"/>
        <v>1596</v>
      </c>
      <c r="F356" s="452">
        <v>769200.19</v>
      </c>
      <c r="G356" s="451">
        <v>0</v>
      </c>
      <c r="H356" s="443">
        <f t="shared" si="46"/>
        <v>769200.19</v>
      </c>
      <c r="J356" s="672"/>
      <c r="K356" s="672"/>
      <c r="L356" s="672"/>
      <c r="M356" s="672"/>
      <c r="N356" s="672"/>
    </row>
    <row r="357" spans="1:14" hidden="1" outlineLevel="1" x14ac:dyDescent="0.25">
      <c r="A357" s="450">
        <v>2014</v>
      </c>
      <c r="B357" s="455" t="s">
        <v>252</v>
      </c>
      <c r="C357" s="454">
        <v>1439</v>
      </c>
      <c r="D357" s="453">
        <v>83.13</v>
      </c>
      <c r="E357" s="446">
        <f t="shared" si="47"/>
        <v>1522.13</v>
      </c>
      <c r="F357" s="452">
        <v>439032.12</v>
      </c>
      <c r="G357" s="451">
        <v>14382.54</v>
      </c>
      <c r="H357" s="443">
        <f t="shared" si="46"/>
        <v>453414.66</v>
      </c>
      <c r="J357" s="672"/>
      <c r="K357" s="672"/>
      <c r="L357" s="672"/>
      <c r="M357" s="672"/>
      <c r="N357" s="672"/>
    </row>
    <row r="358" spans="1:14" hidden="1" outlineLevel="1" x14ac:dyDescent="0.25">
      <c r="A358" s="450">
        <v>2014</v>
      </c>
      <c r="B358" s="455" t="s">
        <v>224</v>
      </c>
      <c r="C358" s="454">
        <v>78176</v>
      </c>
      <c r="D358" s="453">
        <v>0</v>
      </c>
      <c r="E358" s="446">
        <f t="shared" si="47"/>
        <v>78176</v>
      </c>
      <c r="F358" s="452">
        <f>1796128.41+9851903.75+12079093.25</f>
        <v>23727125.41</v>
      </c>
      <c r="G358" s="451">
        <v>0</v>
      </c>
      <c r="H358" s="443">
        <f t="shared" si="46"/>
        <v>23727125.41</v>
      </c>
      <c r="J358" s="672"/>
      <c r="K358" s="672"/>
      <c r="L358" s="672"/>
      <c r="M358" s="672"/>
      <c r="N358" s="672"/>
    </row>
    <row r="359" spans="1:14" ht="14.4" hidden="1" outlineLevel="1" thickBot="1" x14ac:dyDescent="0.3">
      <c r="A359" s="461">
        <v>2014</v>
      </c>
      <c r="B359" s="449" t="s">
        <v>259</v>
      </c>
      <c r="C359" s="448">
        <v>43717</v>
      </c>
      <c r="D359" s="447">
        <v>0</v>
      </c>
      <c r="E359" s="446">
        <f t="shared" si="47"/>
        <v>43717</v>
      </c>
      <c r="F359" s="445">
        <f>18798657.96+595639</f>
        <v>19394296.960000001</v>
      </c>
      <c r="G359" s="444">
        <v>0</v>
      </c>
      <c r="H359" s="443">
        <f t="shared" si="46"/>
        <v>19394296.960000001</v>
      </c>
      <c r="J359" s="672"/>
      <c r="K359" s="672"/>
      <c r="L359" s="672"/>
      <c r="M359" s="672"/>
      <c r="N359" s="672"/>
    </row>
    <row r="360" spans="1:14" ht="15" collapsed="1" thickTop="1" thickBot="1" x14ac:dyDescent="0.3">
      <c r="A360" s="630">
        <v>2014</v>
      </c>
      <c r="B360" s="631" t="s">
        <v>403</v>
      </c>
      <c r="C360" s="635">
        <f>SUM(C343:C359)</f>
        <v>220858.46</v>
      </c>
      <c r="D360" s="645">
        <f>SUM(D343:D359)</f>
        <v>10963.219999999998</v>
      </c>
      <c r="E360" s="651">
        <f>SUM(E343:E359)</f>
        <v>231821.68</v>
      </c>
      <c r="F360" s="636">
        <f>SUM(F343:F359)</f>
        <v>81170164.050000012</v>
      </c>
      <c r="G360" s="644">
        <f>SUM(G343:G359)</f>
        <v>4026387.83</v>
      </c>
      <c r="H360" s="653">
        <f>SUM(F360:G360)</f>
        <v>85196551.88000001</v>
      </c>
      <c r="I360" s="672">
        <f>+'TAB1.0 Accomplshmnt by District'!E221-C360</f>
        <v>0.44000000000232831</v>
      </c>
      <c r="J360" s="672">
        <f>+'TAB1.0 Accomplshmnt by District'!G221-D360</f>
        <v>0</v>
      </c>
      <c r="K360" s="672">
        <f>+'TAB1.0 Accomplshmnt by District'!I221-E360</f>
        <v>0.44000000000232831</v>
      </c>
      <c r="L360" s="672">
        <f>+'TAB1.0 Accomplshmnt by District'!J221-F360</f>
        <v>0</v>
      </c>
      <c r="M360" s="672">
        <f>+'TAB1.0 Accomplshmnt by District'!L221-G360</f>
        <v>1765.7800000002608</v>
      </c>
      <c r="N360" s="672">
        <f>+'TAB1.0 Accomplshmnt by District'!N221-H360</f>
        <v>1765.7800000011921</v>
      </c>
    </row>
    <row r="361" spans="1:14" ht="14.4" hidden="1" outlineLevel="1" thickTop="1" x14ac:dyDescent="0.25">
      <c r="A361" s="450">
        <v>2015</v>
      </c>
      <c r="B361" s="460" t="s">
        <v>214</v>
      </c>
      <c r="C361" s="744">
        <v>766.59</v>
      </c>
      <c r="D361" s="745">
        <v>0</v>
      </c>
      <c r="E361" s="746">
        <f t="shared" ref="E361:E377" si="48">C361+D361</f>
        <v>766.59</v>
      </c>
      <c r="F361" s="747">
        <v>168955.84</v>
      </c>
      <c r="G361" s="748">
        <v>0</v>
      </c>
      <c r="H361" s="749">
        <f t="shared" ref="H361:H377" si="49">F361+G361</f>
        <v>168955.84</v>
      </c>
      <c r="J361" s="672"/>
      <c r="K361" s="672"/>
      <c r="L361" s="672"/>
      <c r="M361" s="672"/>
      <c r="N361" s="672"/>
    </row>
    <row r="362" spans="1:14" hidden="1" outlineLevel="1" x14ac:dyDescent="0.25">
      <c r="A362" s="450">
        <v>2015</v>
      </c>
      <c r="B362" s="455" t="s">
        <v>216</v>
      </c>
      <c r="C362" s="750">
        <v>1681.57</v>
      </c>
      <c r="D362" s="751">
        <v>0</v>
      </c>
      <c r="E362" s="746">
        <f t="shared" si="48"/>
        <v>1681.57</v>
      </c>
      <c r="F362" s="752">
        <v>736472.22</v>
      </c>
      <c r="G362" s="753">
        <v>0</v>
      </c>
      <c r="H362" s="749">
        <f t="shared" si="49"/>
        <v>736472.22</v>
      </c>
      <c r="J362" s="672"/>
      <c r="K362" s="672"/>
      <c r="L362" s="672"/>
      <c r="M362" s="672"/>
      <c r="N362" s="672"/>
    </row>
    <row r="363" spans="1:14" hidden="1" outlineLevel="1" x14ac:dyDescent="0.25">
      <c r="A363" s="450">
        <v>2015</v>
      </c>
      <c r="B363" s="455" t="s">
        <v>219</v>
      </c>
      <c r="C363" s="750">
        <v>80200.45</v>
      </c>
      <c r="D363" s="751">
        <v>169.06</v>
      </c>
      <c r="E363" s="746">
        <f t="shared" si="48"/>
        <v>80369.509999999995</v>
      </c>
      <c r="F363" s="752">
        <v>34141267.020000003</v>
      </c>
      <c r="G363" s="753">
        <v>76339.210000000006</v>
      </c>
      <c r="H363" s="749">
        <f t="shared" si="49"/>
        <v>34217606.230000004</v>
      </c>
      <c r="J363" s="672"/>
      <c r="K363" s="672"/>
      <c r="L363" s="672"/>
      <c r="M363" s="672"/>
      <c r="N363" s="672"/>
    </row>
    <row r="364" spans="1:14" hidden="1" outlineLevel="1" x14ac:dyDescent="0.25">
      <c r="A364" s="450">
        <v>2015</v>
      </c>
      <c r="B364" s="455" t="s">
        <v>222</v>
      </c>
      <c r="C364" s="750">
        <v>0</v>
      </c>
      <c r="D364" s="751">
        <v>0</v>
      </c>
      <c r="E364" s="746">
        <f t="shared" si="48"/>
        <v>0</v>
      </c>
      <c r="F364" s="752">
        <v>0</v>
      </c>
      <c r="G364" s="753">
        <v>0</v>
      </c>
      <c r="H364" s="749">
        <f t="shared" si="49"/>
        <v>0</v>
      </c>
      <c r="J364" s="672"/>
      <c r="K364" s="672"/>
      <c r="L364" s="672"/>
      <c r="M364" s="672"/>
      <c r="N364" s="672"/>
    </row>
    <row r="365" spans="1:14" hidden="1" outlineLevel="1" x14ac:dyDescent="0.25">
      <c r="A365" s="450">
        <v>2015</v>
      </c>
      <c r="B365" s="455" t="s">
        <v>223</v>
      </c>
      <c r="C365" s="750">
        <v>24.42</v>
      </c>
      <c r="D365" s="751">
        <v>2636.15</v>
      </c>
      <c r="E365" s="746">
        <f t="shared" si="48"/>
        <v>2660.57</v>
      </c>
      <c r="F365" s="752">
        <v>11052.67</v>
      </c>
      <c r="G365" s="753">
        <v>1090144.47</v>
      </c>
      <c r="H365" s="749">
        <f t="shared" si="49"/>
        <v>1101197.1399999999</v>
      </c>
      <c r="J365" s="672"/>
      <c r="K365" s="672"/>
      <c r="L365" s="672"/>
      <c r="M365" s="672"/>
      <c r="N365" s="672"/>
    </row>
    <row r="366" spans="1:14" hidden="1" outlineLevel="1" x14ac:dyDescent="0.25">
      <c r="A366" s="450">
        <v>2015</v>
      </c>
      <c r="B366" s="455" t="s">
        <v>228</v>
      </c>
      <c r="C366" s="750">
        <v>0</v>
      </c>
      <c r="D366" s="751">
        <v>0</v>
      </c>
      <c r="E366" s="746">
        <f t="shared" si="48"/>
        <v>0</v>
      </c>
      <c r="F366" s="752">
        <v>0</v>
      </c>
      <c r="G366" s="753">
        <v>0</v>
      </c>
      <c r="H366" s="749">
        <f t="shared" si="49"/>
        <v>0</v>
      </c>
      <c r="J366" s="672"/>
      <c r="K366" s="672"/>
      <c r="L366" s="672"/>
      <c r="M366" s="672"/>
      <c r="N366" s="672"/>
    </row>
    <row r="367" spans="1:14" hidden="1" outlineLevel="1" x14ac:dyDescent="0.25">
      <c r="A367" s="450">
        <v>2015</v>
      </c>
      <c r="B367" s="455" t="s">
        <v>231</v>
      </c>
      <c r="C367" s="750">
        <v>993.41</v>
      </c>
      <c r="D367" s="751">
        <v>5902.7</v>
      </c>
      <c r="E367" s="746">
        <f t="shared" si="48"/>
        <v>6896.11</v>
      </c>
      <c r="F367" s="752">
        <v>229930.05</v>
      </c>
      <c r="G367" s="753">
        <v>2583428.7799999998</v>
      </c>
      <c r="H367" s="749">
        <f t="shared" si="49"/>
        <v>2813358.8299999996</v>
      </c>
      <c r="J367" s="672"/>
      <c r="K367" s="672"/>
      <c r="L367" s="672"/>
      <c r="M367" s="672"/>
      <c r="N367" s="672"/>
    </row>
    <row r="368" spans="1:14" hidden="1" outlineLevel="1" x14ac:dyDescent="0.25">
      <c r="A368" s="450">
        <v>2015</v>
      </c>
      <c r="B368" s="455" t="s">
        <v>239</v>
      </c>
      <c r="C368" s="750">
        <v>0</v>
      </c>
      <c r="D368" s="751">
        <v>0</v>
      </c>
      <c r="E368" s="746">
        <f t="shared" si="48"/>
        <v>0</v>
      </c>
      <c r="F368" s="752">
        <v>0</v>
      </c>
      <c r="G368" s="753">
        <v>0</v>
      </c>
      <c r="H368" s="749">
        <f t="shared" si="49"/>
        <v>0</v>
      </c>
      <c r="J368" s="672"/>
      <c r="K368" s="672"/>
      <c r="L368" s="672"/>
      <c r="M368" s="672"/>
      <c r="N368" s="672"/>
    </row>
    <row r="369" spans="1:14" hidden="1" outlineLevel="1" x14ac:dyDescent="0.25">
      <c r="A369" s="450">
        <v>2015</v>
      </c>
      <c r="B369" s="455" t="s">
        <v>241</v>
      </c>
      <c r="C369" s="750">
        <v>329.41</v>
      </c>
      <c r="D369" s="751">
        <v>0</v>
      </c>
      <c r="E369" s="746">
        <f t="shared" si="48"/>
        <v>329.41</v>
      </c>
      <c r="F369" s="752">
        <v>65765.62</v>
      </c>
      <c r="G369" s="753">
        <v>0</v>
      </c>
      <c r="H369" s="749">
        <f t="shared" si="49"/>
        <v>65765.62</v>
      </c>
      <c r="J369" s="672"/>
      <c r="K369" s="672"/>
      <c r="L369" s="672"/>
      <c r="M369" s="672"/>
      <c r="N369" s="672"/>
    </row>
    <row r="370" spans="1:14" hidden="1" outlineLevel="1" x14ac:dyDescent="0.25">
      <c r="A370" s="450">
        <v>2015</v>
      </c>
      <c r="B370" s="455" t="s">
        <v>242</v>
      </c>
      <c r="C370" s="750">
        <v>16101.5</v>
      </c>
      <c r="D370" s="751">
        <v>1386.38</v>
      </c>
      <c r="E370" s="746">
        <f t="shared" si="48"/>
        <v>17487.88</v>
      </c>
      <c r="F370" s="752">
        <v>3197761.74</v>
      </c>
      <c r="G370" s="753">
        <v>260639.44</v>
      </c>
      <c r="H370" s="749">
        <f t="shared" si="49"/>
        <v>3458401.18</v>
      </c>
      <c r="J370" s="672"/>
      <c r="K370" s="672"/>
      <c r="L370" s="672"/>
      <c r="M370" s="672"/>
      <c r="N370" s="672"/>
    </row>
    <row r="371" spans="1:14" hidden="1" outlineLevel="1" x14ac:dyDescent="0.25">
      <c r="A371" s="450">
        <v>2015</v>
      </c>
      <c r="B371" s="455" t="s">
        <v>244</v>
      </c>
      <c r="C371" s="750">
        <v>4535.43</v>
      </c>
      <c r="D371" s="751">
        <v>3414.79</v>
      </c>
      <c r="E371" s="746">
        <f t="shared" si="48"/>
        <v>7950.22</v>
      </c>
      <c r="F371" s="752">
        <v>2045849.82</v>
      </c>
      <c r="G371" s="753">
        <v>1448867.98</v>
      </c>
      <c r="H371" s="749">
        <f t="shared" si="49"/>
        <v>3494717.8</v>
      </c>
      <c r="J371" s="672"/>
      <c r="K371" s="672"/>
      <c r="L371" s="672"/>
      <c r="M371" s="672"/>
      <c r="N371" s="672"/>
    </row>
    <row r="372" spans="1:14" hidden="1" outlineLevel="1" x14ac:dyDescent="0.25">
      <c r="A372" s="450">
        <v>2015</v>
      </c>
      <c r="B372" s="455" t="s">
        <v>245</v>
      </c>
      <c r="C372" s="750">
        <v>10555.65</v>
      </c>
      <c r="D372" s="751">
        <v>461.61</v>
      </c>
      <c r="E372" s="746">
        <f t="shared" si="48"/>
        <v>11017.26</v>
      </c>
      <c r="F372" s="752">
        <v>3287475.3</v>
      </c>
      <c r="G372" s="753">
        <v>130245.7</v>
      </c>
      <c r="H372" s="749">
        <f t="shared" si="49"/>
        <v>3417721</v>
      </c>
      <c r="J372" s="672"/>
      <c r="K372" s="672"/>
      <c r="L372" s="672"/>
      <c r="M372" s="672"/>
      <c r="N372" s="672"/>
    </row>
    <row r="373" spans="1:14" hidden="1" outlineLevel="1" x14ac:dyDescent="0.25">
      <c r="A373" s="450">
        <v>2015</v>
      </c>
      <c r="B373" s="455" t="s">
        <v>246</v>
      </c>
      <c r="C373" s="750">
        <v>12730.83</v>
      </c>
      <c r="D373" s="751">
        <v>0</v>
      </c>
      <c r="E373" s="746">
        <f t="shared" si="48"/>
        <v>12730.83</v>
      </c>
      <c r="F373" s="752">
        <v>6912441.1200000001</v>
      </c>
      <c r="G373" s="753">
        <v>0</v>
      </c>
      <c r="H373" s="749">
        <f t="shared" si="49"/>
        <v>6912441.1200000001</v>
      </c>
      <c r="J373" s="672"/>
      <c r="K373" s="672"/>
      <c r="L373" s="672"/>
      <c r="M373" s="672"/>
      <c r="N373" s="672"/>
    </row>
    <row r="374" spans="1:14" hidden="1" outlineLevel="1" x14ac:dyDescent="0.25">
      <c r="A374" s="450">
        <v>2015</v>
      </c>
      <c r="B374" s="455" t="s">
        <v>248</v>
      </c>
      <c r="C374" s="750">
        <v>3942.08</v>
      </c>
      <c r="D374" s="751">
        <v>450.26</v>
      </c>
      <c r="E374" s="746">
        <f t="shared" si="48"/>
        <v>4392.34</v>
      </c>
      <c r="F374" s="752">
        <v>1203665.82</v>
      </c>
      <c r="G374" s="753">
        <v>246195.99</v>
      </c>
      <c r="H374" s="749">
        <f t="shared" si="49"/>
        <v>1449861.81</v>
      </c>
      <c r="J374" s="672"/>
      <c r="K374" s="672"/>
      <c r="L374" s="672"/>
      <c r="M374" s="672"/>
      <c r="N374" s="672"/>
    </row>
    <row r="375" spans="1:14" hidden="1" outlineLevel="1" x14ac:dyDescent="0.25">
      <c r="A375" s="450">
        <v>2015</v>
      </c>
      <c r="B375" s="455" t="s">
        <v>252</v>
      </c>
      <c r="C375" s="750">
        <v>670.32</v>
      </c>
      <c r="D375" s="751">
        <v>520.52</v>
      </c>
      <c r="E375" s="746">
        <f t="shared" si="48"/>
        <v>1190.8400000000001</v>
      </c>
      <c r="F375" s="752">
        <v>69594.149999999994</v>
      </c>
      <c r="G375" s="753">
        <v>57674.6</v>
      </c>
      <c r="H375" s="749">
        <f t="shared" si="49"/>
        <v>127268.75</v>
      </c>
      <c r="J375" s="672"/>
      <c r="K375" s="672"/>
      <c r="L375" s="672"/>
      <c r="M375" s="672"/>
      <c r="N375" s="672"/>
    </row>
    <row r="376" spans="1:14" hidden="1" outlineLevel="1" x14ac:dyDescent="0.25">
      <c r="A376" s="450">
        <v>2015</v>
      </c>
      <c r="B376" s="455" t="s">
        <v>224</v>
      </c>
      <c r="C376" s="750">
        <v>79102.91</v>
      </c>
      <c r="D376" s="751">
        <v>331.58</v>
      </c>
      <c r="E376" s="746">
        <f t="shared" si="48"/>
        <v>79434.490000000005</v>
      </c>
      <c r="F376" s="752">
        <v>23585172.640000001</v>
      </c>
      <c r="G376" s="753">
        <v>67039.83</v>
      </c>
      <c r="H376" s="749">
        <f t="shared" si="49"/>
        <v>23652212.469999999</v>
      </c>
      <c r="J376" s="672"/>
      <c r="K376" s="672"/>
      <c r="L376" s="672"/>
      <c r="M376" s="672"/>
      <c r="N376" s="672"/>
    </row>
    <row r="377" spans="1:14" ht="14.4" hidden="1" outlineLevel="1" thickBot="1" x14ac:dyDescent="0.3">
      <c r="A377" s="450">
        <v>2015</v>
      </c>
      <c r="B377" s="449" t="s">
        <v>259</v>
      </c>
      <c r="C377" s="754">
        <v>47267.94</v>
      </c>
      <c r="D377" s="755">
        <v>0</v>
      </c>
      <c r="E377" s="746">
        <f t="shared" si="48"/>
        <v>47267.94</v>
      </c>
      <c r="F377" s="756">
        <v>21915688.920000002</v>
      </c>
      <c r="G377" s="757">
        <v>0</v>
      </c>
      <c r="H377" s="749">
        <f t="shared" si="49"/>
        <v>21915688.920000002</v>
      </c>
      <c r="J377" s="672"/>
      <c r="K377" s="672"/>
      <c r="L377" s="672"/>
      <c r="M377" s="672"/>
      <c r="N377" s="672"/>
    </row>
    <row r="378" spans="1:14" ht="15" thickTop="1" thickBot="1" x14ac:dyDescent="0.3">
      <c r="A378" s="632">
        <v>2015</v>
      </c>
      <c r="B378" s="631" t="s">
        <v>403</v>
      </c>
      <c r="C378" s="740">
        <f>SUM(C361:C377)</f>
        <v>258902.51</v>
      </c>
      <c r="D378" s="741">
        <f>SUM(D361:D377)</f>
        <v>15273.050000000003</v>
      </c>
      <c r="E378" s="742">
        <f>SUM(E361:E377)</f>
        <v>274175.56</v>
      </c>
      <c r="F378" s="740">
        <f>SUM(F361:F377)</f>
        <v>97571092.929999992</v>
      </c>
      <c r="G378" s="741">
        <f>SUM(G361:G377)</f>
        <v>5960576</v>
      </c>
      <c r="H378" s="743">
        <f>SUM(F378:G378)</f>
        <v>103531668.92999999</v>
      </c>
      <c r="I378" s="672">
        <f>+'TAB1.0 Accomplshmnt by District'!E262-C378</f>
        <v>-0.98000000001047738</v>
      </c>
      <c r="J378" s="672">
        <f>+'TAB1.0 Accomplshmnt by District'!G262-D378</f>
        <v>-5.0000000002910383E-2</v>
      </c>
      <c r="K378" s="672">
        <f>+'TAB1.0 Accomplshmnt by District'!I262-E378</f>
        <v>-1.029999999969732</v>
      </c>
      <c r="L378" s="672">
        <f>+'TAB1.0 Accomplshmnt by District'!J262-F378</f>
        <v>-0.92999999225139618</v>
      </c>
      <c r="M378" s="672">
        <f>+'TAB1.0 Accomplshmnt by District'!L262-G378</f>
        <v>-1</v>
      </c>
      <c r="N378" s="672">
        <f>+'TAB1.0 Accomplshmnt by District'!N262-H378</f>
        <v>-1.9299999922513962</v>
      </c>
    </row>
    <row r="379" spans="1:14" ht="14.4" thickTop="1" x14ac:dyDescent="0.25"/>
  </sheetData>
  <autoFilter ref="A1:I360"/>
  <hyperlinks>
    <hyperlink ref="B1" location="'Index &amp; Instructions'!A1" display="County"/>
  </hyperlinks>
  <printOptions horizontalCentered="1"/>
  <pageMargins left="0.5" right="0.5" top="1" bottom="1" header="0.5" footer="0.5"/>
  <pageSetup scale="98" orientation="portrait" r:id="rId1"/>
  <headerFooter alignWithMargins="0">
    <oddHeader xml:space="preserve">&amp;C&amp;"Arial,Bold"&amp;12Oregon Department of Forestry
Volume (MBF) and Timber Value Removed by Fiscal Year
</oddHeader>
    <oddFooter>&amp;LOregon Dept. of Forestry
State Forests Program&amp;R&amp;F</oddFooter>
  </headerFooter>
  <rowBreaks count="3" manualBreakCount="3">
    <brk id="155" max="7" man="1"/>
    <brk id="187" max="7" man="1"/>
    <brk id="221" max="7"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146"/>
  <sheetViews>
    <sheetView showGridLines="0" workbookViewId="0">
      <pane xSplit="2" ySplit="2" topLeftCell="Q3" activePane="bottomRight" state="frozen"/>
      <selection pane="topRight" activeCell="C1" sqref="C1"/>
      <selection pane="bottomLeft" activeCell="A3" sqref="A3"/>
      <selection pane="bottomRight"/>
    </sheetView>
  </sheetViews>
  <sheetFormatPr defaultColWidth="9.109375" defaultRowHeight="13.2" x14ac:dyDescent="0.25"/>
  <cols>
    <col min="1" max="1" width="5.88671875" style="284" customWidth="1"/>
    <col min="2" max="2" width="14.5546875" style="1" customWidth="1"/>
    <col min="3" max="6" width="14.5546875" style="67" customWidth="1"/>
    <col min="7" max="8" width="15.109375" style="67" customWidth="1"/>
    <col min="9" max="9" width="17.33203125" style="67" customWidth="1"/>
    <col min="10" max="10" width="12.5546875" style="329" bestFit="1" customWidth="1"/>
    <col min="11" max="11" width="14.44140625" style="67" customWidth="1"/>
    <col min="12" max="12" width="14.88671875" style="283" bestFit="1" customWidth="1"/>
    <col min="13" max="13" width="12.5546875" style="328" bestFit="1" customWidth="1"/>
    <col min="14" max="15" width="16.88671875" style="67" customWidth="1"/>
    <col min="16" max="16" width="14.88671875" style="67" customWidth="1"/>
    <col min="17" max="17" width="16.88671875" style="67" customWidth="1"/>
    <col min="18" max="18" width="14.44140625" style="283" customWidth="1"/>
    <col min="19" max="19" width="14.44140625" style="1" bestFit="1" customWidth="1"/>
    <col min="20" max="20" width="15.109375" style="1" customWidth="1"/>
    <col min="21" max="23" width="16.44140625" style="1" customWidth="1"/>
    <col min="24" max="24" width="15.21875" style="1" bestFit="1" customWidth="1"/>
    <col min="25" max="25" width="13.44140625" style="1" bestFit="1" customWidth="1"/>
    <col min="26" max="16384" width="9.109375" style="1"/>
  </cols>
  <sheetData>
    <row r="1" spans="1:20" s="324" customFormat="1" x14ac:dyDescent="0.25">
      <c r="A1" s="854" t="s">
        <v>532</v>
      </c>
      <c r="C1" s="327"/>
      <c r="D1" s="327"/>
      <c r="E1" s="327"/>
      <c r="F1" s="327"/>
      <c r="G1" s="327"/>
      <c r="H1" s="327"/>
      <c r="I1" s="327"/>
      <c r="J1" s="327"/>
      <c r="K1" s="327"/>
      <c r="L1" s="327"/>
      <c r="M1" s="326"/>
      <c r="N1" s="325"/>
      <c r="O1" s="325"/>
      <c r="P1" s="325"/>
      <c r="Q1" s="325"/>
      <c r="R1" s="325"/>
      <c r="S1" s="325"/>
      <c r="T1" s="325"/>
    </row>
    <row r="2" spans="1:20" s="322" customFormat="1" x14ac:dyDescent="0.25">
      <c r="A2" s="313"/>
      <c r="C2" s="323" t="s">
        <v>374</v>
      </c>
      <c r="D2" s="323" t="s">
        <v>373</v>
      </c>
      <c r="E2" s="323" t="s">
        <v>372</v>
      </c>
      <c r="F2" s="323" t="s">
        <v>373</v>
      </c>
      <c r="G2" s="323" t="s">
        <v>372</v>
      </c>
      <c r="H2" s="323" t="s">
        <v>371</v>
      </c>
      <c r="I2" s="323" t="s">
        <v>370</v>
      </c>
      <c r="J2" s="323" t="s">
        <v>369</v>
      </c>
      <c r="K2" s="323" t="s">
        <v>368</v>
      </c>
      <c r="L2" s="323" t="s">
        <v>367</v>
      </c>
      <c r="M2" s="323" t="s">
        <v>366</v>
      </c>
      <c r="N2" s="323" t="s">
        <v>365</v>
      </c>
      <c r="O2" s="323" t="s">
        <v>364</v>
      </c>
      <c r="P2" s="323" t="s">
        <v>363</v>
      </c>
      <c r="Q2" s="323" t="s">
        <v>362</v>
      </c>
      <c r="R2" s="323" t="s">
        <v>361</v>
      </c>
      <c r="S2" s="323" t="s">
        <v>360</v>
      </c>
      <c r="T2" s="323" t="s">
        <v>359</v>
      </c>
    </row>
    <row r="3" spans="1:20" s="318" customFormat="1" ht="39.6" x14ac:dyDescent="0.25">
      <c r="A3" s="321"/>
      <c r="C3" s="320" t="s">
        <v>358</v>
      </c>
      <c r="D3" s="320" t="s">
        <v>358</v>
      </c>
      <c r="E3" s="320" t="s">
        <v>358</v>
      </c>
      <c r="F3" s="319" t="s">
        <v>357</v>
      </c>
      <c r="G3" s="319" t="s">
        <v>357</v>
      </c>
      <c r="H3" s="319" t="s">
        <v>357</v>
      </c>
      <c r="I3" s="319" t="s">
        <v>357</v>
      </c>
      <c r="J3" s="319" t="s">
        <v>357</v>
      </c>
      <c r="K3" s="319" t="s">
        <v>357</v>
      </c>
      <c r="L3" s="319" t="s">
        <v>357</v>
      </c>
      <c r="M3" s="319" t="s">
        <v>357</v>
      </c>
      <c r="N3" s="319" t="s">
        <v>357</v>
      </c>
      <c r="O3" s="319" t="s">
        <v>357</v>
      </c>
      <c r="P3" s="319" t="s">
        <v>357</v>
      </c>
      <c r="Q3" s="319" t="s">
        <v>357</v>
      </c>
      <c r="R3" s="319" t="s">
        <v>357</v>
      </c>
      <c r="S3" s="319" t="s">
        <v>357</v>
      </c>
      <c r="T3" s="319" t="s">
        <v>357</v>
      </c>
    </row>
    <row r="4" spans="1:20" x14ac:dyDescent="0.25">
      <c r="A4" s="916" t="s">
        <v>356</v>
      </c>
      <c r="B4" s="916"/>
      <c r="C4" s="303"/>
      <c r="D4" s="303"/>
      <c r="E4" s="303"/>
      <c r="F4" s="317"/>
      <c r="G4" s="317"/>
      <c r="H4" s="317"/>
      <c r="I4" s="317"/>
      <c r="J4" s="317"/>
      <c r="K4" s="317"/>
      <c r="L4" s="317"/>
      <c r="M4" s="317"/>
      <c r="N4" s="317"/>
      <c r="O4" s="317"/>
      <c r="P4" s="317"/>
      <c r="Q4" s="317"/>
      <c r="R4" s="304"/>
      <c r="S4" s="304"/>
      <c r="T4" s="304"/>
    </row>
    <row r="5" spans="1:20" x14ac:dyDescent="0.25">
      <c r="B5" s="6" t="s">
        <v>355</v>
      </c>
      <c r="C5" s="303">
        <v>24428271</v>
      </c>
      <c r="D5" s="303">
        <v>30054597</v>
      </c>
      <c r="E5" s="303">
        <v>31796828</v>
      </c>
      <c r="F5" s="317">
        <f>20171963+9309805+347222</f>
        <v>29828990</v>
      </c>
      <c r="G5" s="317">
        <f>22074815+9955916</f>
        <v>32030731</v>
      </c>
      <c r="H5" s="317">
        <v>32702577</v>
      </c>
      <c r="I5" s="317">
        <v>39500850</v>
      </c>
      <c r="J5" s="317">
        <v>52861553</v>
      </c>
      <c r="K5" s="317">
        <v>54125020</v>
      </c>
      <c r="L5" s="317">
        <v>56634281</v>
      </c>
      <c r="M5" s="317">
        <v>57673860</v>
      </c>
      <c r="N5" s="317">
        <v>62030648</v>
      </c>
      <c r="O5" s="317">
        <v>63698183</v>
      </c>
      <c r="P5" s="317">
        <v>83061171</v>
      </c>
      <c r="Q5" s="317">
        <v>86986108</v>
      </c>
      <c r="R5" s="304">
        <f>79240146+9336525</f>
        <v>88576671</v>
      </c>
      <c r="S5" s="304"/>
      <c r="T5" s="304"/>
    </row>
    <row r="6" spans="1:20" x14ac:dyDescent="0.25">
      <c r="B6" s="316" t="s">
        <v>354</v>
      </c>
      <c r="C6" s="314">
        <v>0</v>
      </c>
      <c r="D6" s="314">
        <v>0</v>
      </c>
      <c r="E6" s="314">
        <v>0</v>
      </c>
      <c r="F6" s="315"/>
      <c r="G6" s="315"/>
      <c r="H6" s="315"/>
      <c r="I6" s="315"/>
      <c r="J6" s="315"/>
      <c r="K6" s="315"/>
      <c r="L6" s="315"/>
      <c r="M6" s="315">
        <v>137440</v>
      </c>
      <c r="N6" s="315">
        <v>140739</v>
      </c>
      <c r="O6" s="315">
        <v>145102</v>
      </c>
      <c r="P6" s="315">
        <v>7313336</v>
      </c>
      <c r="Q6" s="315">
        <v>7261174</v>
      </c>
      <c r="R6" s="314">
        <v>3846034</v>
      </c>
      <c r="S6" s="304"/>
      <c r="T6" s="304"/>
    </row>
    <row r="7" spans="1:20" s="4" customFormat="1" ht="13.8" thickBot="1" x14ac:dyDescent="0.3">
      <c r="A7" s="313"/>
      <c r="B7" s="312" t="s">
        <v>193</v>
      </c>
      <c r="C7" s="311">
        <f t="shared" ref="C7:H7" si="0">SUM(C4:C6)</f>
        <v>24428271</v>
      </c>
      <c r="D7" s="311">
        <f t="shared" si="0"/>
        <v>30054597</v>
      </c>
      <c r="E7" s="311">
        <f t="shared" si="0"/>
        <v>31796828</v>
      </c>
      <c r="F7" s="310">
        <f t="shared" si="0"/>
        <v>29828990</v>
      </c>
      <c r="G7" s="310">
        <f t="shared" si="0"/>
        <v>32030731</v>
      </c>
      <c r="H7" s="310">
        <f t="shared" si="0"/>
        <v>32702577</v>
      </c>
      <c r="I7" s="310">
        <f>SUM(I5:I6)</f>
        <v>39500850</v>
      </c>
      <c r="J7" s="310">
        <f>SUM(J5:J6)</f>
        <v>52861553</v>
      </c>
      <c r="K7" s="310">
        <f>SUM(K4:K6)</f>
        <v>54125020</v>
      </c>
      <c r="L7" s="310">
        <f t="shared" ref="L7:R7" si="1">SUM(L5:L6)</f>
        <v>56634281</v>
      </c>
      <c r="M7" s="310">
        <f t="shared" si="1"/>
        <v>57811300</v>
      </c>
      <c r="N7" s="310">
        <f t="shared" si="1"/>
        <v>62171387</v>
      </c>
      <c r="O7" s="310">
        <f t="shared" si="1"/>
        <v>63843285</v>
      </c>
      <c r="P7" s="310">
        <f t="shared" si="1"/>
        <v>90374507</v>
      </c>
      <c r="Q7" s="310">
        <f t="shared" si="1"/>
        <v>94247282</v>
      </c>
      <c r="R7" s="309">
        <f t="shared" si="1"/>
        <v>92422705</v>
      </c>
      <c r="S7" s="309"/>
      <c r="T7" s="309"/>
    </row>
    <row r="8" spans="1:20" s="52" customFormat="1" ht="13.8" thickTop="1" x14ac:dyDescent="0.25">
      <c r="A8" s="294"/>
      <c r="B8" s="298" t="s">
        <v>343</v>
      </c>
      <c r="C8" s="297"/>
      <c r="D8" s="297"/>
      <c r="E8" s="297"/>
      <c r="F8" s="308"/>
      <c r="G8" s="308"/>
      <c r="H8" s="308"/>
      <c r="I8" s="308"/>
      <c r="J8" s="308">
        <v>287</v>
      </c>
      <c r="K8" s="308">
        <v>295</v>
      </c>
      <c r="L8" s="308">
        <v>301</v>
      </c>
      <c r="M8" s="308">
        <v>294</v>
      </c>
      <c r="N8" s="308">
        <v>305</v>
      </c>
      <c r="O8" s="308">
        <v>302</v>
      </c>
      <c r="P8" s="308">
        <v>288</v>
      </c>
      <c r="Q8" s="308">
        <v>283</v>
      </c>
      <c r="R8" s="295">
        <v>268</v>
      </c>
      <c r="S8" s="295">
        <v>253</v>
      </c>
      <c r="T8" s="295">
        <v>253</v>
      </c>
    </row>
    <row r="9" spans="1:20" s="52" customFormat="1" ht="13.8" thickBot="1" x14ac:dyDescent="0.3">
      <c r="A9" s="294"/>
      <c r="B9" s="293" t="s">
        <v>342</v>
      </c>
      <c r="C9" s="292"/>
      <c r="D9" s="292"/>
      <c r="E9" s="292"/>
      <c r="F9" s="291">
        <f>158.13+63.59+2.5</f>
        <v>224.22</v>
      </c>
      <c r="G9" s="291">
        <f>151.37+61.5</f>
        <v>212.87</v>
      </c>
      <c r="H9" s="291">
        <f>142.57+51.39</f>
        <v>193.95999999999998</v>
      </c>
      <c r="I9" s="291">
        <f>165.42+45.87+7.33</f>
        <v>218.62</v>
      </c>
      <c r="J9" s="291">
        <v>240.18</v>
      </c>
      <c r="K9" s="291">
        <v>254.44</v>
      </c>
      <c r="L9" s="291">
        <v>255.83</v>
      </c>
      <c r="M9" s="291">
        <v>246.71</v>
      </c>
      <c r="N9" s="291">
        <v>273.19</v>
      </c>
      <c r="O9" s="291">
        <v>253.16</v>
      </c>
      <c r="P9" s="291">
        <v>253.16</v>
      </c>
      <c r="Q9" s="291">
        <v>253</v>
      </c>
      <c r="R9" s="290">
        <v>242.43</v>
      </c>
      <c r="S9" s="290">
        <v>241.71</v>
      </c>
      <c r="T9" s="290">
        <v>242</v>
      </c>
    </row>
    <row r="10" spans="1:20" ht="13.8" thickTop="1" x14ac:dyDescent="0.25">
      <c r="C10" s="303"/>
      <c r="D10" s="303"/>
      <c r="E10" s="303"/>
      <c r="F10" s="303"/>
      <c r="G10" s="303"/>
      <c r="H10" s="303"/>
      <c r="I10" s="303"/>
      <c r="J10" s="303"/>
      <c r="K10" s="303"/>
      <c r="L10" s="303"/>
      <c r="M10" s="303"/>
      <c r="N10" s="303"/>
      <c r="O10" s="303"/>
      <c r="P10" s="303"/>
      <c r="Q10" s="303"/>
      <c r="R10" s="303"/>
      <c r="S10" s="303"/>
      <c r="T10" s="303"/>
    </row>
    <row r="11" spans="1:20" x14ac:dyDescent="0.25">
      <c r="B11" s="2"/>
      <c r="C11" s="303"/>
      <c r="D11" s="303"/>
      <c r="E11" s="303"/>
      <c r="F11" s="303"/>
      <c r="G11" s="303"/>
      <c r="H11" s="303"/>
      <c r="I11" s="303"/>
      <c r="J11" s="303"/>
      <c r="K11" s="303"/>
      <c r="L11" s="303"/>
      <c r="M11" s="303"/>
      <c r="N11" s="303"/>
      <c r="O11" s="303"/>
      <c r="P11" s="303"/>
      <c r="Q11" s="303"/>
      <c r="R11" s="303"/>
      <c r="S11" s="303"/>
      <c r="T11" s="303"/>
    </row>
    <row r="12" spans="1:20" x14ac:dyDescent="0.25">
      <c r="A12" s="917" t="s">
        <v>353</v>
      </c>
      <c r="B12" s="917"/>
      <c r="C12" s="303"/>
      <c r="D12" s="303"/>
      <c r="E12" s="303"/>
      <c r="F12" s="303"/>
      <c r="G12" s="303"/>
      <c r="H12" s="303"/>
      <c r="I12" s="303"/>
      <c r="J12" s="303"/>
      <c r="K12" s="303"/>
      <c r="L12" s="303"/>
      <c r="M12" s="303"/>
      <c r="N12" s="303"/>
      <c r="O12" s="303"/>
      <c r="P12" s="303"/>
      <c r="Q12" s="303"/>
      <c r="R12" s="303"/>
      <c r="S12" s="303"/>
      <c r="T12" s="303"/>
    </row>
    <row r="13" spans="1:20" x14ac:dyDescent="0.25">
      <c r="A13" s="918" t="s">
        <v>352</v>
      </c>
      <c r="B13" s="918"/>
      <c r="C13" s="303"/>
      <c r="D13" s="303"/>
      <c r="E13" s="303"/>
      <c r="F13" s="303"/>
      <c r="G13" s="303"/>
      <c r="H13" s="303"/>
      <c r="I13" s="303"/>
      <c r="J13" s="303"/>
      <c r="K13" s="303"/>
      <c r="L13" s="303"/>
      <c r="M13" s="303"/>
      <c r="N13" s="303"/>
      <c r="O13" s="303"/>
      <c r="P13" s="303"/>
      <c r="Q13" s="303"/>
      <c r="R13" s="303"/>
      <c r="S13" s="303"/>
      <c r="T13" s="303"/>
    </row>
    <row r="14" spans="1:20" x14ac:dyDescent="0.25">
      <c r="A14" s="307"/>
      <c r="B14" s="1" t="s">
        <v>348</v>
      </c>
      <c r="C14" s="303"/>
      <c r="D14" s="303"/>
      <c r="E14" s="303"/>
      <c r="F14" s="303"/>
      <c r="G14" s="303"/>
      <c r="H14" s="303">
        <v>48400</v>
      </c>
      <c r="I14" s="303">
        <v>80000</v>
      </c>
      <c r="J14" s="303"/>
      <c r="K14" s="303">
        <v>85982</v>
      </c>
      <c r="L14" s="303">
        <v>85488</v>
      </c>
      <c r="M14" s="303"/>
      <c r="N14" s="303"/>
      <c r="O14" s="303"/>
      <c r="P14" s="303"/>
      <c r="Q14" s="303"/>
      <c r="R14" s="303"/>
      <c r="S14" s="303"/>
      <c r="T14" s="303"/>
    </row>
    <row r="15" spans="1:20" x14ac:dyDescent="0.25">
      <c r="B15" s="1" t="s">
        <v>351</v>
      </c>
      <c r="C15" s="303"/>
      <c r="D15" s="303"/>
      <c r="E15" s="303"/>
      <c r="F15" s="305"/>
      <c r="G15" s="305"/>
      <c r="H15" s="305">
        <v>404100</v>
      </c>
      <c r="I15" s="305">
        <v>1000000</v>
      </c>
      <c r="J15" s="305">
        <v>7879140</v>
      </c>
      <c r="K15" s="305">
        <v>15518666</v>
      </c>
      <c r="L15" s="305">
        <f>3791463+21500000</f>
        <v>25291463</v>
      </c>
      <c r="M15" s="305">
        <v>3791463</v>
      </c>
      <c r="N15" s="305">
        <v>3882458</v>
      </c>
      <c r="O15" s="306">
        <v>13152814</v>
      </c>
      <c r="P15" s="305">
        <v>4114893</v>
      </c>
      <c r="Q15" s="305">
        <v>4213650</v>
      </c>
      <c r="R15" s="304">
        <f>2654503+261022</f>
        <v>2915525</v>
      </c>
      <c r="S15" s="304"/>
      <c r="T15" s="304"/>
    </row>
    <row r="16" spans="1:20" ht="13.8" thickBot="1" x14ac:dyDescent="0.3">
      <c r="B16" s="920" t="s">
        <v>350</v>
      </c>
      <c r="C16" s="920"/>
      <c r="D16" s="303"/>
      <c r="E16" s="303"/>
      <c r="F16" s="304"/>
      <c r="G16" s="304"/>
      <c r="H16" s="304"/>
      <c r="I16" s="304"/>
      <c r="J16" s="304"/>
      <c r="K16" s="304"/>
      <c r="L16" s="304"/>
      <c r="M16" s="304"/>
      <c r="N16" s="304"/>
      <c r="O16" s="304"/>
      <c r="P16" s="304">
        <v>15000000</v>
      </c>
      <c r="Q16" s="304"/>
      <c r="R16" s="304"/>
      <c r="S16" s="304"/>
      <c r="T16" s="304"/>
    </row>
    <row r="17" spans="1:20" ht="14.4" thickTop="1" thickBot="1" x14ac:dyDescent="0.3">
      <c r="B17" s="765" t="s">
        <v>193</v>
      </c>
      <c r="C17" s="311"/>
      <c r="D17" s="311"/>
      <c r="E17" s="311"/>
      <c r="F17" s="767">
        <f t="shared" ref="F17:L17" si="2">SUM(F14:F15)</f>
        <v>0</v>
      </c>
      <c r="G17" s="767">
        <f t="shared" si="2"/>
        <v>0</v>
      </c>
      <c r="H17" s="767">
        <f t="shared" si="2"/>
        <v>452500</v>
      </c>
      <c r="I17" s="767">
        <f t="shared" si="2"/>
        <v>1080000</v>
      </c>
      <c r="J17" s="767">
        <f t="shared" si="2"/>
        <v>7879140</v>
      </c>
      <c r="K17" s="767">
        <f t="shared" si="2"/>
        <v>15604648</v>
      </c>
      <c r="L17" s="767">
        <f t="shared" si="2"/>
        <v>25376951</v>
      </c>
      <c r="M17" s="767">
        <f>+M15</f>
        <v>3791463</v>
      </c>
      <c r="N17" s="767">
        <f t="shared" ref="N17:T17" si="3">SUM(N15:N16)</f>
        <v>3882458</v>
      </c>
      <c r="O17" s="767">
        <f t="shared" si="3"/>
        <v>13152814</v>
      </c>
      <c r="P17" s="767">
        <f t="shared" si="3"/>
        <v>19114893</v>
      </c>
      <c r="Q17" s="767">
        <f t="shared" si="3"/>
        <v>4213650</v>
      </c>
      <c r="R17" s="767">
        <f t="shared" si="3"/>
        <v>2915525</v>
      </c>
      <c r="S17" s="767">
        <f t="shared" si="3"/>
        <v>0</v>
      </c>
      <c r="T17" s="767">
        <f t="shared" si="3"/>
        <v>0</v>
      </c>
    </row>
    <row r="18" spans="1:20" ht="13.8" thickTop="1" x14ac:dyDescent="0.25">
      <c r="C18" s="303"/>
      <c r="D18" s="303"/>
      <c r="E18" s="303"/>
      <c r="F18" s="303"/>
      <c r="G18" s="303"/>
      <c r="H18" s="303"/>
      <c r="I18" s="303"/>
      <c r="J18" s="303"/>
      <c r="K18" s="303"/>
      <c r="L18" s="303"/>
      <c r="M18" s="303"/>
      <c r="N18" s="303"/>
      <c r="O18" s="303"/>
      <c r="P18" s="303"/>
      <c r="Q18" s="303"/>
      <c r="R18" s="303"/>
      <c r="S18" s="303"/>
      <c r="T18" s="303"/>
    </row>
    <row r="19" spans="1:20" x14ac:dyDescent="0.25">
      <c r="A19" s="919" t="s">
        <v>349</v>
      </c>
      <c r="B19" s="919"/>
      <c r="C19" s="303"/>
      <c r="D19" s="303"/>
      <c r="E19" s="303"/>
      <c r="F19" s="303"/>
      <c r="G19" s="303"/>
      <c r="H19" s="303"/>
      <c r="I19" s="303"/>
      <c r="J19" s="303"/>
      <c r="K19" s="303"/>
      <c r="L19" s="303"/>
      <c r="M19" s="303"/>
      <c r="N19" s="303"/>
      <c r="O19" s="303"/>
      <c r="P19" s="303"/>
      <c r="Q19" s="303"/>
      <c r="R19" s="303"/>
      <c r="S19" s="303"/>
      <c r="T19" s="303"/>
    </row>
    <row r="20" spans="1:20" x14ac:dyDescent="0.25">
      <c r="B20" s="1" t="s">
        <v>348</v>
      </c>
      <c r="C20" s="303"/>
      <c r="D20" s="303"/>
      <c r="E20" s="303"/>
      <c r="F20" s="303"/>
      <c r="G20" s="303"/>
      <c r="H20" s="303"/>
      <c r="I20" s="303"/>
      <c r="J20" s="303">
        <v>332867</v>
      </c>
      <c r="K20" s="303">
        <v>941157</v>
      </c>
      <c r="L20" s="303">
        <v>1848102</v>
      </c>
      <c r="M20" s="303">
        <v>2041933</v>
      </c>
      <c r="N20" s="303">
        <v>2038541</v>
      </c>
      <c r="O20" s="303">
        <v>2495634</v>
      </c>
      <c r="P20" s="303">
        <v>2782804</v>
      </c>
      <c r="Q20" s="303">
        <v>27788506</v>
      </c>
      <c r="R20" s="303">
        <v>2873589</v>
      </c>
      <c r="S20" s="303"/>
      <c r="T20" s="303"/>
    </row>
    <row r="21" spans="1:20" x14ac:dyDescent="0.25">
      <c r="B21" s="1" t="s">
        <v>347</v>
      </c>
      <c r="C21" s="303"/>
      <c r="D21" s="303"/>
      <c r="E21" s="303"/>
      <c r="F21" s="303"/>
      <c r="G21" s="303"/>
      <c r="H21" s="303"/>
      <c r="I21" s="303"/>
      <c r="J21" s="303"/>
      <c r="K21" s="303"/>
      <c r="L21" s="303"/>
      <c r="M21" s="303"/>
      <c r="N21" s="303"/>
      <c r="O21" s="303"/>
      <c r="P21" s="303">
        <v>1374136</v>
      </c>
      <c r="Q21" s="303">
        <v>24453937</v>
      </c>
      <c r="R21" s="303">
        <v>2523132</v>
      </c>
      <c r="S21" s="303"/>
      <c r="T21" s="303"/>
    </row>
    <row r="22" spans="1:20" ht="13.8" thickBot="1" x14ac:dyDescent="0.3">
      <c r="B22" s="1" t="s">
        <v>346</v>
      </c>
      <c r="C22" s="303"/>
      <c r="D22" s="303"/>
      <c r="E22" s="303"/>
      <c r="F22" s="303"/>
      <c r="G22" s="303"/>
      <c r="H22" s="303"/>
      <c r="I22" s="303"/>
      <c r="J22" s="303">
        <v>190080</v>
      </c>
      <c r="K22" s="303">
        <v>573293</v>
      </c>
      <c r="L22" s="303">
        <v>1125515</v>
      </c>
      <c r="M22" s="303">
        <v>1243555</v>
      </c>
      <c r="N22" s="303">
        <v>1241492</v>
      </c>
      <c r="O22" s="303">
        <v>1790223</v>
      </c>
      <c r="P22" s="303">
        <v>1737957</v>
      </c>
      <c r="Q22" s="303">
        <v>1665510</v>
      </c>
      <c r="R22" s="303">
        <v>120000</v>
      </c>
      <c r="S22" s="303"/>
      <c r="T22" s="303"/>
    </row>
    <row r="23" spans="1:20" ht="13.8" thickTop="1" x14ac:dyDescent="0.25">
      <c r="B23" s="765" t="s">
        <v>193</v>
      </c>
      <c r="C23" s="766"/>
      <c r="D23" s="766"/>
      <c r="E23" s="766"/>
      <c r="F23" s="766"/>
      <c r="G23" s="766"/>
      <c r="H23" s="766"/>
      <c r="I23" s="766"/>
      <c r="J23" s="766">
        <f t="shared" ref="J23:Q23" si="4">SUM(J20:J22)</f>
        <v>522947</v>
      </c>
      <c r="K23" s="766">
        <f t="shared" si="4"/>
        <v>1514450</v>
      </c>
      <c r="L23" s="766">
        <f t="shared" si="4"/>
        <v>2973617</v>
      </c>
      <c r="M23" s="766">
        <f t="shared" si="4"/>
        <v>3285488</v>
      </c>
      <c r="N23" s="766">
        <f t="shared" si="4"/>
        <v>3280033</v>
      </c>
      <c r="O23" s="766">
        <f t="shared" si="4"/>
        <v>4285857</v>
      </c>
      <c r="P23" s="766">
        <f t="shared" si="4"/>
        <v>5894897</v>
      </c>
      <c r="Q23" s="766">
        <f t="shared" si="4"/>
        <v>53907953</v>
      </c>
      <c r="R23" s="766">
        <f>SUM(R20:R22)</f>
        <v>5516721</v>
      </c>
      <c r="S23" s="766">
        <f t="shared" ref="S23:T23" si="5">SUM(S20:S22)</f>
        <v>0</v>
      </c>
      <c r="T23" s="766">
        <f t="shared" si="5"/>
        <v>0</v>
      </c>
    </row>
    <row r="24" spans="1:20" x14ac:dyDescent="0.25">
      <c r="B24" s="2"/>
      <c r="C24" s="303"/>
      <c r="D24" s="303"/>
      <c r="E24" s="303"/>
      <c r="F24" s="303"/>
      <c r="G24" s="303"/>
      <c r="H24" s="303"/>
      <c r="I24" s="303"/>
      <c r="J24" s="303"/>
      <c r="K24" s="303"/>
      <c r="L24" s="303"/>
      <c r="M24" s="303"/>
      <c r="N24" s="303"/>
      <c r="O24" s="303"/>
      <c r="P24" s="303"/>
      <c r="Q24" s="303"/>
      <c r="R24" s="303"/>
      <c r="S24" s="303"/>
      <c r="T24" s="303"/>
    </row>
    <row r="25" spans="1:20" x14ac:dyDescent="0.25">
      <c r="J25" s="67"/>
      <c r="L25" s="67"/>
      <c r="M25" s="5"/>
      <c r="N25" s="5"/>
      <c r="O25" s="5"/>
      <c r="P25" s="5"/>
      <c r="Q25" s="5"/>
      <c r="R25" s="5"/>
      <c r="S25" s="5"/>
      <c r="T25" s="5"/>
    </row>
    <row r="26" spans="1:20" ht="13.8" x14ac:dyDescent="0.25">
      <c r="B26" s="915" t="s">
        <v>28</v>
      </c>
      <c r="C26" s="915"/>
      <c r="J26" s="67"/>
      <c r="L26" s="67"/>
      <c r="M26" s="5"/>
      <c r="N26" s="5"/>
      <c r="O26" s="5"/>
      <c r="P26" s="5"/>
      <c r="Q26" s="5"/>
      <c r="R26" s="5"/>
      <c r="S26" s="5"/>
      <c r="T26" s="5"/>
    </row>
    <row r="27" spans="1:20" ht="15" customHeight="1" x14ac:dyDescent="0.25">
      <c r="A27" s="90"/>
      <c r="B27" s="1" t="s">
        <v>348</v>
      </c>
      <c r="C27" s="67">
        <v>15276366</v>
      </c>
      <c r="D27" s="67">
        <v>23958685</v>
      </c>
      <c r="E27" s="67">
        <v>26049938</v>
      </c>
      <c r="F27" s="67">
        <v>16711374</v>
      </c>
      <c r="G27" s="67">
        <v>20081703</v>
      </c>
      <c r="H27" s="67">
        <v>25868192</v>
      </c>
      <c r="I27" s="67">
        <v>23708057</v>
      </c>
      <c r="J27" s="67">
        <v>26097279</v>
      </c>
      <c r="K27" s="67">
        <v>33293088</v>
      </c>
      <c r="L27" s="67">
        <v>36430991</v>
      </c>
      <c r="M27" s="67">
        <v>33846083</v>
      </c>
      <c r="N27" s="283">
        <v>37682391</v>
      </c>
      <c r="O27" s="302">
        <v>40058848</v>
      </c>
      <c r="P27" s="302">
        <v>40346770</v>
      </c>
      <c r="Q27" s="302">
        <v>46101909</v>
      </c>
      <c r="R27" s="302"/>
      <c r="S27" s="302"/>
      <c r="T27" s="302"/>
    </row>
    <row r="28" spans="1:20" x14ac:dyDescent="0.25">
      <c r="A28" s="299"/>
      <c r="B28" s="1" t="s">
        <v>347</v>
      </c>
      <c r="C28" s="67">
        <v>0</v>
      </c>
      <c r="D28" s="67">
        <v>0</v>
      </c>
      <c r="E28" s="67">
        <v>0</v>
      </c>
      <c r="J28" s="67"/>
      <c r="K28" s="67">
        <v>379427</v>
      </c>
      <c r="L28" s="67"/>
      <c r="M28" s="67"/>
      <c r="O28" s="301"/>
      <c r="P28" s="301">
        <v>1507601</v>
      </c>
      <c r="Q28" s="301">
        <v>3060100</v>
      </c>
      <c r="R28" s="301"/>
      <c r="S28" s="301"/>
      <c r="T28" s="301"/>
    </row>
    <row r="29" spans="1:20" x14ac:dyDescent="0.25">
      <c r="A29" s="299"/>
      <c r="B29" s="1" t="s">
        <v>346</v>
      </c>
      <c r="C29" s="67">
        <v>56065744</v>
      </c>
      <c r="D29" s="67">
        <v>69496704</v>
      </c>
      <c r="E29" s="67">
        <v>80732915</v>
      </c>
      <c r="F29" s="67">
        <v>65217040</v>
      </c>
      <c r="G29" s="67">
        <v>75205404</v>
      </c>
      <c r="H29" s="67">
        <v>87948532</v>
      </c>
      <c r="I29" s="67">
        <v>92486652</v>
      </c>
      <c r="J29" s="67">
        <v>118640893</v>
      </c>
      <c r="K29" s="67">
        <v>135680794</v>
      </c>
      <c r="L29" s="67">
        <v>174068405</v>
      </c>
      <c r="M29" s="67">
        <v>158418905</v>
      </c>
      <c r="N29" s="67">
        <v>157983199</v>
      </c>
      <c r="O29" s="301">
        <v>190304955</v>
      </c>
      <c r="P29" s="301">
        <v>199883556</v>
      </c>
      <c r="Q29" s="301">
        <v>198776816</v>
      </c>
      <c r="R29" s="301"/>
      <c r="S29" s="301"/>
      <c r="T29" s="301"/>
    </row>
    <row r="30" spans="1:20" x14ac:dyDescent="0.25">
      <c r="A30" s="299"/>
      <c r="B30" s="1" t="s">
        <v>345</v>
      </c>
      <c r="C30" s="67">
        <v>12041116</v>
      </c>
      <c r="D30" s="67">
        <v>13492116</v>
      </c>
      <c r="E30" s="67">
        <v>15565436</v>
      </c>
      <c r="F30" s="67">
        <v>13196670</v>
      </c>
      <c r="G30" s="67">
        <v>15676836</v>
      </c>
      <c r="H30" s="67">
        <v>22564554</v>
      </c>
      <c r="I30" s="67">
        <v>22324538</v>
      </c>
      <c r="J30" s="67">
        <v>23172377</v>
      </c>
      <c r="K30" s="67">
        <v>24004997</v>
      </c>
      <c r="L30" s="67">
        <v>7514800</v>
      </c>
      <c r="M30" s="67">
        <v>15000000</v>
      </c>
      <c r="N30" s="67">
        <v>15000000</v>
      </c>
      <c r="O30" s="301">
        <v>15000000</v>
      </c>
      <c r="P30" s="301">
        <v>15000000</v>
      </c>
      <c r="Q30" s="301">
        <v>15000000</v>
      </c>
      <c r="R30" s="301"/>
      <c r="S30" s="301"/>
      <c r="T30" s="301"/>
    </row>
    <row r="31" spans="1:20" ht="13.8" thickBot="1" x14ac:dyDescent="0.3">
      <c r="A31" s="299"/>
      <c r="B31" s="1" t="s">
        <v>344</v>
      </c>
      <c r="C31" s="67">
        <v>1340462</v>
      </c>
      <c r="D31" s="67">
        <v>2152835</v>
      </c>
      <c r="E31" s="67">
        <v>3722410</v>
      </c>
      <c r="F31" s="67">
        <v>1446852</v>
      </c>
      <c r="G31" s="67">
        <v>3657550</v>
      </c>
      <c r="H31" s="67">
        <v>3584029</v>
      </c>
      <c r="I31" s="67">
        <v>3476289</v>
      </c>
      <c r="J31" s="67">
        <v>3199530</v>
      </c>
      <c r="K31" s="67">
        <v>3368145</v>
      </c>
      <c r="L31" s="67">
        <v>3554566</v>
      </c>
      <c r="M31" s="67">
        <v>18922136</v>
      </c>
      <c r="N31" s="67">
        <v>24724173</v>
      </c>
      <c r="O31" s="301">
        <v>26483943</v>
      </c>
      <c r="P31" s="301">
        <v>46558712</v>
      </c>
      <c r="Q31" s="301">
        <v>0</v>
      </c>
      <c r="R31" s="301"/>
      <c r="S31" s="301"/>
      <c r="T31" s="301"/>
    </row>
    <row r="32" spans="1:20" s="4" customFormat="1" ht="13.8" thickBot="1" x14ac:dyDescent="0.3">
      <c r="A32" s="300"/>
      <c r="B32" s="768" t="s">
        <v>79</v>
      </c>
      <c r="C32" s="769">
        <v>84723688</v>
      </c>
      <c r="D32" s="769">
        <v>109100340</v>
      </c>
      <c r="E32" s="769">
        <v>126070699</v>
      </c>
      <c r="F32" s="769">
        <v>96571936</v>
      </c>
      <c r="G32" s="769">
        <v>114621493</v>
      </c>
      <c r="H32" s="769">
        <v>139965307</v>
      </c>
      <c r="I32" s="769">
        <v>141995536</v>
      </c>
      <c r="J32" s="769">
        <v>171110079</v>
      </c>
      <c r="K32" s="769">
        <v>196726451</v>
      </c>
      <c r="L32" s="769">
        <v>221568762</v>
      </c>
      <c r="M32" s="769">
        <v>226187124</v>
      </c>
      <c r="N32" s="769">
        <v>235389763</v>
      </c>
      <c r="O32" s="770">
        <v>271847746</v>
      </c>
      <c r="P32" s="770">
        <v>303296639</v>
      </c>
      <c r="Q32" s="770">
        <v>262938825</v>
      </c>
      <c r="R32" s="770">
        <f>SUM(R27:R31)</f>
        <v>0</v>
      </c>
      <c r="S32" s="770">
        <f>SUM(S27:S31)</f>
        <v>0</v>
      </c>
      <c r="T32" s="770">
        <f>SUM(T27:T31)</f>
        <v>0</v>
      </c>
    </row>
    <row r="33" spans="1:23" ht="14.4" thickTop="1" thickBot="1" x14ac:dyDescent="0.3">
      <c r="A33" s="299"/>
      <c r="J33" s="67"/>
      <c r="L33" s="67"/>
      <c r="M33" s="67"/>
      <c r="R33" s="67"/>
      <c r="S33" s="67"/>
      <c r="T33" s="67"/>
    </row>
    <row r="34" spans="1:23" s="52" customFormat="1" ht="13.8" thickTop="1" x14ac:dyDescent="0.25">
      <c r="A34" s="294"/>
      <c r="B34" s="298" t="s">
        <v>343</v>
      </c>
      <c r="C34" s="297">
        <v>848.89</v>
      </c>
      <c r="D34" s="297">
        <v>805.1</v>
      </c>
      <c r="E34" s="297">
        <v>886.3</v>
      </c>
      <c r="F34" s="296"/>
      <c r="G34" s="296"/>
      <c r="H34" s="296">
        <v>1403</v>
      </c>
      <c r="I34" s="296">
        <v>1324</v>
      </c>
      <c r="J34" s="296">
        <v>1360</v>
      </c>
      <c r="K34" s="296">
        <v>1402</v>
      </c>
      <c r="L34" s="296">
        <v>1476</v>
      </c>
      <c r="M34" s="296">
        <v>1357</v>
      </c>
      <c r="N34" s="296">
        <v>1339</v>
      </c>
      <c r="O34" s="296">
        <v>1311</v>
      </c>
      <c r="P34" s="296">
        <v>1227</v>
      </c>
      <c r="Q34" s="296">
        <v>1245</v>
      </c>
      <c r="R34" s="296"/>
      <c r="S34" s="296"/>
      <c r="T34" s="296"/>
    </row>
    <row r="35" spans="1:23" s="52" customFormat="1" ht="13.8" thickBot="1" x14ac:dyDescent="0.3">
      <c r="A35" s="294"/>
      <c r="B35" s="293" t="s">
        <v>342</v>
      </c>
      <c r="C35" s="292">
        <v>1469</v>
      </c>
      <c r="D35" s="292">
        <v>1404</v>
      </c>
      <c r="E35" s="292">
        <v>1471</v>
      </c>
      <c r="F35" s="291">
        <v>803.81000000000006</v>
      </c>
      <c r="G35" s="291">
        <v>887.31</v>
      </c>
      <c r="H35" s="291">
        <v>834.91999999999985</v>
      </c>
      <c r="I35" s="291">
        <v>838.6099999999999</v>
      </c>
      <c r="J35" s="291">
        <v>876.47</v>
      </c>
      <c r="K35" s="291">
        <v>904.49000000000012</v>
      </c>
      <c r="L35" s="291">
        <v>944.24</v>
      </c>
      <c r="M35" s="291">
        <v>881.97</v>
      </c>
      <c r="N35" s="291">
        <v>913.70999999999992</v>
      </c>
      <c r="O35" s="291">
        <v>919.62</v>
      </c>
      <c r="P35" s="291">
        <v>864.07</v>
      </c>
      <c r="Q35" s="291">
        <v>894.64</v>
      </c>
      <c r="R35" s="291"/>
      <c r="S35" s="291"/>
      <c r="T35" s="291"/>
    </row>
    <row r="36" spans="1:23" ht="15.6" thickTop="1" x14ac:dyDescent="0.25">
      <c r="J36" s="67"/>
      <c r="L36" s="289"/>
      <c r="M36" s="1"/>
      <c r="N36" s="1"/>
      <c r="O36" s="286"/>
      <c r="P36" s="286"/>
      <c r="Q36" s="286"/>
      <c r="R36" s="286"/>
      <c r="S36" s="286"/>
      <c r="T36" s="286"/>
    </row>
    <row r="37" spans="1:23" ht="15" x14ac:dyDescent="0.25">
      <c r="Q37" s="289"/>
      <c r="R37" s="1"/>
      <c r="T37" s="287"/>
    </row>
    <row r="38" spans="1:23" x14ac:dyDescent="0.25">
      <c r="R38" s="1"/>
      <c r="T38" s="286"/>
      <c r="U38" s="286"/>
      <c r="V38" s="286"/>
      <c r="W38" s="286"/>
    </row>
    <row r="39" spans="1:23" x14ac:dyDescent="0.25">
      <c r="C39" s="67" t="s">
        <v>341</v>
      </c>
      <c r="D39" s="329"/>
      <c r="F39" s="283"/>
      <c r="J39" s="67"/>
      <c r="M39" s="1"/>
      <c r="N39" s="1"/>
      <c r="O39" s="1"/>
      <c r="P39" s="1"/>
      <c r="Q39" s="1"/>
      <c r="R39" s="1"/>
      <c r="T39" s="249"/>
      <c r="U39" s="249"/>
      <c r="V39" s="249"/>
      <c r="W39" s="249"/>
    </row>
    <row r="40" spans="1:23" x14ac:dyDescent="0.25">
      <c r="C40" s="67" t="s">
        <v>340</v>
      </c>
      <c r="D40" s="329" t="s">
        <v>339</v>
      </c>
      <c r="E40" s="67" t="s">
        <v>338</v>
      </c>
      <c r="F40" s="283" t="s">
        <v>337</v>
      </c>
      <c r="G40" s="67" t="s">
        <v>336</v>
      </c>
      <c r="H40" s="67" t="s">
        <v>335</v>
      </c>
      <c r="I40" s="67" t="s">
        <v>334</v>
      </c>
      <c r="J40" s="67"/>
      <c r="M40" s="1"/>
      <c r="N40" s="1"/>
      <c r="O40" s="1"/>
      <c r="P40" s="1"/>
      <c r="Q40" s="1"/>
      <c r="R40" s="1"/>
      <c r="T40" s="288"/>
      <c r="U40" s="288"/>
      <c r="V40" s="288"/>
      <c r="W40" s="288"/>
    </row>
    <row r="41" spans="1:23" x14ac:dyDescent="0.25">
      <c r="C41" s="1" t="s">
        <v>333</v>
      </c>
      <c r="D41" s="1" t="s">
        <v>332</v>
      </c>
      <c r="E41" s="1" t="s">
        <v>331</v>
      </c>
      <c r="F41" s="1" t="s">
        <v>330</v>
      </c>
      <c r="G41" s="1" t="s">
        <v>329</v>
      </c>
      <c r="H41" s="1" t="s">
        <v>328</v>
      </c>
      <c r="I41" s="1" t="s">
        <v>327</v>
      </c>
      <c r="J41" s="1"/>
      <c r="R41" s="1"/>
      <c r="T41" s="286"/>
      <c r="U41" s="286"/>
      <c r="V41" s="286"/>
      <c r="W41" s="286"/>
    </row>
    <row r="42" spans="1:23" x14ac:dyDescent="0.25">
      <c r="C42" s="1" t="s">
        <v>326</v>
      </c>
      <c r="D42" s="1" t="s">
        <v>325</v>
      </c>
      <c r="E42" s="1" t="s">
        <v>324</v>
      </c>
      <c r="F42" s="1" t="s">
        <v>323</v>
      </c>
      <c r="G42" s="1" t="s">
        <v>322</v>
      </c>
      <c r="H42" s="1" t="s">
        <v>321</v>
      </c>
      <c r="I42" s="1" t="s">
        <v>320</v>
      </c>
      <c r="J42" s="1"/>
      <c r="R42" s="1"/>
      <c r="T42" s="287"/>
      <c r="U42" s="287"/>
      <c r="V42" s="287"/>
      <c r="W42" s="287"/>
    </row>
    <row r="43" spans="1:23" x14ac:dyDescent="0.25">
      <c r="S43" s="283"/>
      <c r="T43" s="286"/>
      <c r="U43" s="286"/>
      <c r="V43" s="286"/>
      <c r="W43" s="286"/>
    </row>
    <row r="44" spans="1:23" x14ac:dyDescent="0.25">
      <c r="S44" s="283"/>
      <c r="T44" s="285"/>
      <c r="U44" s="285"/>
      <c r="V44" s="285"/>
      <c r="W44" s="285"/>
    </row>
    <row r="45" spans="1:23" x14ac:dyDescent="0.25">
      <c r="S45" s="283"/>
      <c r="T45" s="285"/>
      <c r="U45" s="285"/>
      <c r="V45" s="285"/>
      <c r="W45" s="285"/>
    </row>
    <row r="46" spans="1:23" x14ac:dyDescent="0.25">
      <c r="S46" s="283"/>
    </row>
    <row r="47" spans="1:23" x14ac:dyDescent="0.25">
      <c r="S47" s="283"/>
    </row>
    <row r="48" spans="1:23" x14ac:dyDescent="0.25">
      <c r="S48" s="283"/>
    </row>
    <row r="49" spans="19:19" x14ac:dyDescent="0.25">
      <c r="S49" s="283"/>
    </row>
    <row r="50" spans="19:19" x14ac:dyDescent="0.25">
      <c r="S50" s="283"/>
    </row>
    <row r="51" spans="19:19" x14ac:dyDescent="0.25">
      <c r="S51" s="283"/>
    </row>
    <row r="52" spans="19:19" x14ac:dyDescent="0.25">
      <c r="S52" s="283"/>
    </row>
    <row r="53" spans="19:19" x14ac:dyDescent="0.25">
      <c r="S53" s="283"/>
    </row>
    <row r="54" spans="19:19" x14ac:dyDescent="0.25">
      <c r="S54" s="283"/>
    </row>
    <row r="55" spans="19:19" x14ac:dyDescent="0.25">
      <c r="S55" s="283"/>
    </row>
    <row r="56" spans="19:19" x14ac:dyDescent="0.25">
      <c r="S56" s="283"/>
    </row>
    <row r="57" spans="19:19" x14ac:dyDescent="0.25">
      <c r="S57" s="283"/>
    </row>
    <row r="58" spans="19:19" x14ac:dyDescent="0.25">
      <c r="S58" s="283"/>
    </row>
    <row r="59" spans="19:19" x14ac:dyDescent="0.25">
      <c r="S59" s="283"/>
    </row>
    <row r="60" spans="19:19" x14ac:dyDescent="0.25">
      <c r="S60" s="283"/>
    </row>
    <row r="61" spans="19:19" x14ac:dyDescent="0.25">
      <c r="S61" s="283"/>
    </row>
    <row r="62" spans="19:19" x14ac:dyDescent="0.25">
      <c r="S62" s="283"/>
    </row>
    <row r="63" spans="19:19" x14ac:dyDescent="0.25">
      <c r="S63" s="283"/>
    </row>
    <row r="64" spans="19:19" x14ac:dyDescent="0.25">
      <c r="S64" s="283"/>
    </row>
    <row r="65" spans="19:19" x14ac:dyDescent="0.25">
      <c r="S65" s="283"/>
    </row>
    <row r="66" spans="19:19" x14ac:dyDescent="0.25">
      <c r="S66" s="283"/>
    </row>
    <row r="67" spans="19:19" x14ac:dyDescent="0.25">
      <c r="S67" s="283"/>
    </row>
    <row r="68" spans="19:19" x14ac:dyDescent="0.25">
      <c r="S68" s="283"/>
    </row>
    <row r="69" spans="19:19" x14ac:dyDescent="0.25">
      <c r="S69" s="283"/>
    </row>
    <row r="70" spans="19:19" x14ac:dyDescent="0.25">
      <c r="S70" s="283"/>
    </row>
    <row r="71" spans="19:19" x14ac:dyDescent="0.25">
      <c r="S71" s="283"/>
    </row>
    <row r="72" spans="19:19" x14ac:dyDescent="0.25">
      <c r="S72" s="283"/>
    </row>
    <row r="73" spans="19:19" x14ac:dyDescent="0.25">
      <c r="S73" s="283"/>
    </row>
    <row r="74" spans="19:19" x14ac:dyDescent="0.25">
      <c r="S74" s="283"/>
    </row>
    <row r="75" spans="19:19" x14ac:dyDescent="0.25">
      <c r="S75" s="283"/>
    </row>
    <row r="76" spans="19:19" x14ac:dyDescent="0.25">
      <c r="S76" s="283"/>
    </row>
    <row r="77" spans="19:19" x14ac:dyDescent="0.25">
      <c r="S77" s="283"/>
    </row>
    <row r="78" spans="19:19" x14ac:dyDescent="0.25">
      <c r="S78" s="283"/>
    </row>
    <row r="79" spans="19:19" x14ac:dyDescent="0.25">
      <c r="S79" s="283"/>
    </row>
    <row r="80" spans="19:19" x14ac:dyDescent="0.25">
      <c r="S80" s="283"/>
    </row>
    <row r="81" spans="19:19" x14ac:dyDescent="0.25">
      <c r="S81" s="283"/>
    </row>
    <row r="82" spans="19:19" x14ac:dyDescent="0.25">
      <c r="S82" s="283"/>
    </row>
    <row r="83" spans="19:19" x14ac:dyDescent="0.25">
      <c r="S83" s="283"/>
    </row>
    <row r="84" spans="19:19" x14ac:dyDescent="0.25">
      <c r="S84" s="283"/>
    </row>
    <row r="85" spans="19:19" x14ac:dyDescent="0.25">
      <c r="S85" s="283"/>
    </row>
    <row r="86" spans="19:19" x14ac:dyDescent="0.25">
      <c r="S86" s="283"/>
    </row>
    <row r="87" spans="19:19" x14ac:dyDescent="0.25">
      <c r="S87" s="283"/>
    </row>
    <row r="88" spans="19:19" x14ac:dyDescent="0.25">
      <c r="S88" s="283"/>
    </row>
    <row r="89" spans="19:19" x14ac:dyDescent="0.25">
      <c r="S89" s="283"/>
    </row>
    <row r="90" spans="19:19" x14ac:dyDescent="0.25">
      <c r="S90" s="283"/>
    </row>
    <row r="91" spans="19:19" x14ac:dyDescent="0.25">
      <c r="S91" s="283"/>
    </row>
    <row r="92" spans="19:19" x14ac:dyDescent="0.25">
      <c r="S92" s="283"/>
    </row>
    <row r="93" spans="19:19" x14ac:dyDescent="0.25">
      <c r="S93" s="283"/>
    </row>
    <row r="94" spans="19:19" x14ac:dyDescent="0.25">
      <c r="S94" s="283"/>
    </row>
    <row r="95" spans="19:19" x14ac:dyDescent="0.25">
      <c r="S95" s="283"/>
    </row>
    <row r="96" spans="19:19" x14ac:dyDescent="0.25">
      <c r="S96" s="283"/>
    </row>
    <row r="97" spans="19:19" x14ac:dyDescent="0.25">
      <c r="S97" s="283"/>
    </row>
    <row r="98" spans="19:19" x14ac:dyDescent="0.25">
      <c r="S98" s="283"/>
    </row>
    <row r="99" spans="19:19" x14ac:dyDescent="0.25">
      <c r="S99" s="283"/>
    </row>
    <row r="100" spans="19:19" x14ac:dyDescent="0.25">
      <c r="S100" s="283"/>
    </row>
    <row r="101" spans="19:19" x14ac:dyDescent="0.25">
      <c r="S101" s="283"/>
    </row>
    <row r="102" spans="19:19" x14ac:dyDescent="0.25">
      <c r="S102" s="283"/>
    </row>
    <row r="103" spans="19:19" x14ac:dyDescent="0.25">
      <c r="S103" s="283"/>
    </row>
    <row r="104" spans="19:19" x14ac:dyDescent="0.25">
      <c r="S104" s="283"/>
    </row>
    <row r="105" spans="19:19" x14ac:dyDescent="0.25">
      <c r="S105" s="283"/>
    </row>
    <row r="106" spans="19:19" x14ac:dyDescent="0.25">
      <c r="S106" s="283"/>
    </row>
    <row r="107" spans="19:19" x14ac:dyDescent="0.25">
      <c r="S107" s="283"/>
    </row>
    <row r="108" spans="19:19" x14ac:dyDescent="0.25">
      <c r="S108" s="283"/>
    </row>
    <row r="109" spans="19:19" x14ac:dyDescent="0.25">
      <c r="S109" s="283"/>
    </row>
    <row r="110" spans="19:19" x14ac:dyDescent="0.25">
      <c r="S110" s="283"/>
    </row>
    <row r="111" spans="19:19" x14ac:dyDescent="0.25">
      <c r="S111" s="283"/>
    </row>
    <row r="112" spans="19:19" x14ac:dyDescent="0.25">
      <c r="S112" s="283"/>
    </row>
    <row r="113" spans="19:19" x14ac:dyDescent="0.25">
      <c r="S113" s="283"/>
    </row>
    <row r="114" spans="19:19" x14ac:dyDescent="0.25">
      <c r="S114" s="283"/>
    </row>
    <row r="115" spans="19:19" x14ac:dyDescent="0.25">
      <c r="S115" s="283"/>
    </row>
    <row r="116" spans="19:19" x14ac:dyDescent="0.25">
      <c r="S116" s="283"/>
    </row>
    <row r="117" spans="19:19" x14ac:dyDescent="0.25">
      <c r="S117" s="283"/>
    </row>
    <row r="118" spans="19:19" x14ac:dyDescent="0.25">
      <c r="S118" s="283"/>
    </row>
    <row r="119" spans="19:19" x14ac:dyDescent="0.25">
      <c r="S119" s="283"/>
    </row>
    <row r="120" spans="19:19" x14ac:dyDescent="0.25">
      <c r="S120" s="283"/>
    </row>
    <row r="121" spans="19:19" x14ac:dyDescent="0.25">
      <c r="S121" s="283"/>
    </row>
    <row r="122" spans="19:19" x14ac:dyDescent="0.25">
      <c r="S122" s="283"/>
    </row>
    <row r="123" spans="19:19" x14ac:dyDescent="0.25">
      <c r="S123" s="283"/>
    </row>
    <row r="124" spans="19:19" x14ac:dyDescent="0.25">
      <c r="S124" s="283"/>
    </row>
    <row r="125" spans="19:19" x14ac:dyDescent="0.25">
      <c r="S125" s="283"/>
    </row>
    <row r="126" spans="19:19" x14ac:dyDescent="0.25">
      <c r="S126" s="283"/>
    </row>
    <row r="127" spans="19:19" x14ac:dyDescent="0.25">
      <c r="S127" s="283"/>
    </row>
    <row r="128" spans="19:19" x14ac:dyDescent="0.25">
      <c r="S128" s="283"/>
    </row>
    <row r="129" spans="19:19" x14ac:dyDescent="0.25">
      <c r="S129" s="283"/>
    </row>
    <row r="130" spans="19:19" x14ac:dyDescent="0.25">
      <c r="S130" s="283"/>
    </row>
    <row r="131" spans="19:19" x14ac:dyDescent="0.25">
      <c r="S131" s="283"/>
    </row>
    <row r="132" spans="19:19" x14ac:dyDescent="0.25">
      <c r="S132" s="283"/>
    </row>
    <row r="133" spans="19:19" x14ac:dyDescent="0.25">
      <c r="S133" s="283"/>
    </row>
    <row r="134" spans="19:19" x14ac:dyDescent="0.25">
      <c r="S134" s="283"/>
    </row>
    <row r="135" spans="19:19" x14ac:dyDescent="0.25">
      <c r="S135" s="283"/>
    </row>
    <row r="136" spans="19:19" x14ac:dyDescent="0.25">
      <c r="S136" s="283"/>
    </row>
    <row r="137" spans="19:19" x14ac:dyDescent="0.25">
      <c r="S137" s="283"/>
    </row>
    <row r="138" spans="19:19" x14ac:dyDescent="0.25">
      <c r="S138" s="283"/>
    </row>
    <row r="139" spans="19:19" x14ac:dyDescent="0.25">
      <c r="S139" s="283"/>
    </row>
    <row r="140" spans="19:19" x14ac:dyDescent="0.25">
      <c r="S140" s="283"/>
    </row>
    <row r="141" spans="19:19" x14ac:dyDescent="0.25">
      <c r="S141" s="283"/>
    </row>
    <row r="142" spans="19:19" x14ac:dyDescent="0.25">
      <c r="S142" s="283"/>
    </row>
    <row r="143" spans="19:19" x14ac:dyDescent="0.25">
      <c r="S143" s="283"/>
    </row>
    <row r="144" spans="19:19" x14ac:dyDescent="0.25">
      <c r="S144" s="283"/>
    </row>
    <row r="145" spans="19:19" x14ac:dyDescent="0.25">
      <c r="S145" s="283"/>
    </row>
    <row r="146" spans="19:19" x14ac:dyDescent="0.25">
      <c r="S146" s="283"/>
    </row>
  </sheetData>
  <mergeCells count="6">
    <mergeCell ref="B26:C26"/>
    <mergeCell ref="A4:B4"/>
    <mergeCell ref="A12:B12"/>
    <mergeCell ref="A13:B13"/>
    <mergeCell ref="A19:B19"/>
    <mergeCell ref="B16:C16"/>
  </mergeCells>
  <hyperlinks>
    <hyperlink ref="A1" location="'Index &amp; Instructions'!A1" display="HOME"/>
  </hyperlinks>
  <printOptions horizontalCentered="1"/>
  <pageMargins left="0.2" right="0.2" top="1.4" bottom="0.79" header="0.25" footer="0.25"/>
  <pageSetup scale="46" orientation="landscape" horizontalDpi="300" verticalDpi="300" r:id="rId1"/>
  <headerFooter alignWithMargins="0">
    <oddHeader>&amp;L&amp;A&amp;C&amp;"Arial,Bold"&amp;14 2007-2009
Oregon Department of Forestry&amp;18
&amp;14Biennial Budget Summary - Historical Complete Budget Perspective&amp;X1</oddHeader>
    <oddFooter>&amp;L&amp;"Arial,Regular"Business Services
Budget Management Unit
&amp;C&amp;"Arial,Regular"Page &amp;P of &amp;N&amp;R&amp;"Arial,Regular"J Neely
Created: 9/14/06
Printed: &amp;D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election activeCell="D1" sqref="D1"/>
    </sheetView>
  </sheetViews>
  <sheetFormatPr defaultRowHeight="12.6" x14ac:dyDescent="0.25"/>
  <cols>
    <col min="2" max="2" width="15.109375" customWidth="1"/>
    <col min="3" max="3" width="14.44140625" customWidth="1"/>
    <col min="6" max="6" width="15.109375" customWidth="1"/>
    <col min="9" max="9" width="18.5546875" customWidth="1"/>
    <col min="12" max="12" width="18.33203125" customWidth="1"/>
  </cols>
  <sheetData>
    <row r="1" spans="1:13" ht="14.4" x14ac:dyDescent="0.3">
      <c r="A1" s="109" t="s">
        <v>203</v>
      </c>
      <c r="B1" s="109" t="s">
        <v>72</v>
      </c>
      <c r="C1" s="109" t="s">
        <v>204</v>
      </c>
      <c r="D1" s="854" t="s">
        <v>532</v>
      </c>
      <c r="E1" s="109" t="s">
        <v>205</v>
      </c>
      <c r="F1" s="109" t="s">
        <v>206</v>
      </c>
      <c r="H1" s="109" t="s">
        <v>207</v>
      </c>
      <c r="I1" s="109" t="s">
        <v>208</v>
      </c>
      <c r="K1" s="109" t="s">
        <v>203</v>
      </c>
      <c r="L1" s="109" t="s">
        <v>142</v>
      </c>
    </row>
    <row r="2" spans="1:13" ht="14.4" x14ac:dyDescent="0.3">
      <c r="A2" s="110" t="s">
        <v>209</v>
      </c>
      <c r="B2" s="110" t="s">
        <v>210</v>
      </c>
      <c r="C2" s="110" t="s">
        <v>211</v>
      </c>
      <c r="E2" s="110" t="s">
        <v>146</v>
      </c>
      <c r="F2" s="110" t="s">
        <v>210</v>
      </c>
      <c r="H2" s="110" t="s">
        <v>146</v>
      </c>
      <c r="I2" s="110" t="s">
        <v>212</v>
      </c>
      <c r="K2" s="110" t="s">
        <v>146</v>
      </c>
      <c r="L2" s="111" t="s">
        <v>264</v>
      </c>
    </row>
    <row r="3" spans="1:13" ht="14.4" x14ac:dyDescent="0.3">
      <c r="A3" s="110" t="s">
        <v>213</v>
      </c>
      <c r="B3" s="110" t="s">
        <v>214</v>
      </c>
      <c r="C3" s="110" t="s">
        <v>212</v>
      </c>
      <c r="E3" s="110" t="s">
        <v>60</v>
      </c>
      <c r="F3" s="110" t="s">
        <v>214</v>
      </c>
      <c r="H3" s="110" t="s">
        <v>60</v>
      </c>
      <c r="I3" s="110" t="s">
        <v>215</v>
      </c>
      <c r="K3" s="110" t="s">
        <v>60</v>
      </c>
      <c r="L3" s="111" t="s">
        <v>202</v>
      </c>
      <c r="M3" s="111" t="s">
        <v>136</v>
      </c>
    </row>
    <row r="4" spans="1:13" ht="14.4" x14ac:dyDescent="0.3">
      <c r="A4" s="110" t="s">
        <v>213</v>
      </c>
      <c r="B4" s="110" t="s">
        <v>216</v>
      </c>
      <c r="C4" s="110" t="s">
        <v>215</v>
      </c>
      <c r="E4" s="110" t="s">
        <v>63</v>
      </c>
      <c r="F4" s="110" t="s">
        <v>216</v>
      </c>
      <c r="H4" s="110" t="s">
        <v>63</v>
      </c>
      <c r="I4" s="110" t="s">
        <v>217</v>
      </c>
      <c r="K4" s="110" t="s">
        <v>63</v>
      </c>
      <c r="L4" s="111" t="s">
        <v>176</v>
      </c>
    </row>
    <row r="5" spans="1:13" ht="14.4" x14ac:dyDescent="0.3">
      <c r="A5" s="110" t="s">
        <v>218</v>
      </c>
      <c r="B5" s="110" t="s">
        <v>219</v>
      </c>
      <c r="C5" s="110" t="s">
        <v>220</v>
      </c>
      <c r="E5" s="110" t="s">
        <v>36</v>
      </c>
      <c r="F5" s="110" t="s">
        <v>219</v>
      </c>
      <c r="H5" s="110" t="s">
        <v>36</v>
      </c>
      <c r="I5" s="110" t="s">
        <v>221</v>
      </c>
      <c r="K5" s="110" t="s">
        <v>36</v>
      </c>
      <c r="L5" s="112" t="s">
        <v>175</v>
      </c>
    </row>
    <row r="6" spans="1:13" ht="14.4" x14ac:dyDescent="0.3">
      <c r="A6" s="110" t="s">
        <v>218</v>
      </c>
      <c r="B6" s="110" t="s">
        <v>219</v>
      </c>
      <c r="C6" s="110" t="s">
        <v>221</v>
      </c>
      <c r="E6" s="110" t="s">
        <v>37</v>
      </c>
      <c r="F6" s="110" t="s">
        <v>222</v>
      </c>
      <c r="H6" s="110" t="s">
        <v>37</v>
      </c>
      <c r="I6" s="110" t="s">
        <v>220</v>
      </c>
    </row>
    <row r="7" spans="1:13" ht="14.4" x14ac:dyDescent="0.3">
      <c r="A7" s="110" t="s">
        <v>218</v>
      </c>
      <c r="B7" s="110" t="s">
        <v>222</v>
      </c>
      <c r="C7" s="110" t="s">
        <v>220</v>
      </c>
      <c r="E7" s="110" t="s">
        <v>68</v>
      </c>
      <c r="F7" s="110" t="s">
        <v>223</v>
      </c>
      <c r="H7" s="110" t="s">
        <v>68</v>
      </c>
      <c r="I7" s="110" t="s">
        <v>224</v>
      </c>
    </row>
    <row r="8" spans="1:13" ht="14.4" x14ac:dyDescent="0.3">
      <c r="A8" s="110" t="s">
        <v>225</v>
      </c>
      <c r="B8" s="110" t="s">
        <v>223</v>
      </c>
      <c r="C8" s="110" t="s">
        <v>226</v>
      </c>
      <c r="E8" s="110" t="s">
        <v>148</v>
      </c>
      <c r="F8" s="110" t="s">
        <v>227</v>
      </c>
      <c r="H8" s="110" t="s">
        <v>148</v>
      </c>
      <c r="I8" s="110" t="s">
        <v>226</v>
      </c>
    </row>
    <row r="9" spans="1:13" ht="14.4" x14ac:dyDescent="0.3">
      <c r="A9" s="110" t="s">
        <v>209</v>
      </c>
      <c r="B9" s="110" t="s">
        <v>227</v>
      </c>
      <c r="C9" s="110" t="s">
        <v>211</v>
      </c>
      <c r="E9" s="110" t="s">
        <v>69</v>
      </c>
      <c r="F9" s="110" t="s">
        <v>228</v>
      </c>
      <c r="H9" s="110" t="s">
        <v>69</v>
      </c>
      <c r="I9" s="110" t="s">
        <v>229</v>
      </c>
    </row>
    <row r="10" spans="1:13" ht="14.4" x14ac:dyDescent="0.3">
      <c r="A10" s="110" t="s">
        <v>225</v>
      </c>
      <c r="B10" s="110" t="s">
        <v>228</v>
      </c>
      <c r="C10" s="110" t="s">
        <v>226</v>
      </c>
      <c r="E10" s="110" t="s">
        <v>150</v>
      </c>
      <c r="F10" s="110" t="s">
        <v>230</v>
      </c>
      <c r="H10" s="110" t="s">
        <v>150</v>
      </c>
      <c r="I10" s="110" t="s">
        <v>211</v>
      </c>
    </row>
    <row r="11" spans="1:13" ht="14.4" x14ac:dyDescent="0.3">
      <c r="A11" s="110" t="s">
        <v>209</v>
      </c>
      <c r="B11" s="110" t="s">
        <v>230</v>
      </c>
      <c r="C11" s="110" t="s">
        <v>211</v>
      </c>
      <c r="E11" s="110" t="s">
        <v>67</v>
      </c>
      <c r="F11" s="110" t="s">
        <v>231</v>
      </c>
      <c r="H11" s="110" t="s">
        <v>67</v>
      </c>
      <c r="I11" s="110" t="s">
        <v>232</v>
      </c>
    </row>
    <row r="12" spans="1:13" ht="14.4" x14ac:dyDescent="0.3">
      <c r="A12" s="110" t="s">
        <v>225</v>
      </c>
      <c r="B12" s="110" t="s">
        <v>231</v>
      </c>
      <c r="C12" s="110" t="s">
        <v>229</v>
      </c>
      <c r="E12" s="110" t="s">
        <v>199</v>
      </c>
      <c r="F12" s="110" t="s">
        <v>233</v>
      </c>
      <c r="H12" s="110" t="s">
        <v>199</v>
      </c>
      <c r="I12" s="110" t="s">
        <v>234</v>
      </c>
    </row>
    <row r="13" spans="1:13" ht="14.4" x14ac:dyDescent="0.3">
      <c r="A13" s="110" t="s">
        <v>225</v>
      </c>
      <c r="B13" s="110" t="s">
        <v>231</v>
      </c>
      <c r="C13" s="110" t="s">
        <v>226</v>
      </c>
      <c r="E13" s="110" t="s">
        <v>152</v>
      </c>
      <c r="F13" s="110" t="s">
        <v>235</v>
      </c>
      <c r="H13" s="110" t="s">
        <v>152</v>
      </c>
      <c r="I13" s="110" t="s">
        <v>236</v>
      </c>
    </row>
    <row r="14" spans="1:13" ht="14.4" x14ac:dyDescent="0.3">
      <c r="A14" s="110" t="s">
        <v>213</v>
      </c>
      <c r="B14" s="110" t="s">
        <v>231</v>
      </c>
      <c r="C14" s="110" t="s">
        <v>217</v>
      </c>
      <c r="E14" s="110" t="s">
        <v>154</v>
      </c>
      <c r="F14" s="110" t="s">
        <v>237</v>
      </c>
    </row>
    <row r="15" spans="1:13" ht="14.4" x14ac:dyDescent="0.3">
      <c r="A15" s="110" t="s">
        <v>209</v>
      </c>
      <c r="B15" s="110" t="s">
        <v>235</v>
      </c>
      <c r="C15" s="110" t="s">
        <v>211</v>
      </c>
      <c r="E15" s="110" t="s">
        <v>155</v>
      </c>
      <c r="F15" s="110" t="s">
        <v>238</v>
      </c>
    </row>
    <row r="16" spans="1:13" ht="14.4" x14ac:dyDescent="0.3">
      <c r="A16" s="110" t="s">
        <v>209</v>
      </c>
      <c r="B16" s="110" t="s">
        <v>237</v>
      </c>
      <c r="C16" s="110" t="s">
        <v>211</v>
      </c>
      <c r="E16" s="110" t="s">
        <v>70</v>
      </c>
      <c r="F16" s="110" t="s">
        <v>239</v>
      </c>
    </row>
    <row r="17" spans="1:6" ht="14.4" x14ac:dyDescent="0.3">
      <c r="A17" s="110" t="s">
        <v>209</v>
      </c>
      <c r="B17" s="110" t="s">
        <v>238</v>
      </c>
      <c r="C17" s="110" t="s">
        <v>211</v>
      </c>
      <c r="E17" s="110" t="s">
        <v>157</v>
      </c>
      <c r="F17" s="110" t="s">
        <v>240</v>
      </c>
    </row>
    <row r="18" spans="1:6" ht="14.4" x14ac:dyDescent="0.3">
      <c r="A18" s="110" t="s">
        <v>225</v>
      </c>
      <c r="B18" s="110" t="s">
        <v>239</v>
      </c>
      <c r="C18" s="110" t="s">
        <v>229</v>
      </c>
      <c r="E18" s="110" t="s">
        <v>71</v>
      </c>
      <c r="F18" s="110" t="s">
        <v>241</v>
      </c>
    </row>
    <row r="19" spans="1:6" ht="14.4" x14ac:dyDescent="0.3">
      <c r="A19" s="110" t="s">
        <v>209</v>
      </c>
      <c r="B19" s="110" t="s">
        <v>240</v>
      </c>
      <c r="C19" s="110" t="s">
        <v>211</v>
      </c>
      <c r="E19" s="110" t="s">
        <v>143</v>
      </c>
      <c r="F19" s="110" t="s">
        <v>242</v>
      </c>
    </row>
    <row r="20" spans="1:6" ht="14.4" x14ac:dyDescent="0.3">
      <c r="A20" s="110" t="s">
        <v>225</v>
      </c>
      <c r="B20" s="110" t="s">
        <v>241</v>
      </c>
      <c r="C20" s="110" t="s">
        <v>229</v>
      </c>
      <c r="E20" s="110" t="s">
        <v>171</v>
      </c>
      <c r="F20" s="110" t="s">
        <v>243</v>
      </c>
    </row>
    <row r="21" spans="1:6" ht="14.4" x14ac:dyDescent="0.3">
      <c r="A21" s="110" t="s">
        <v>209</v>
      </c>
      <c r="B21" s="110" t="s">
        <v>242</v>
      </c>
      <c r="C21" s="110" t="s">
        <v>232</v>
      </c>
      <c r="E21" s="110" t="s">
        <v>66</v>
      </c>
      <c r="F21" s="110" t="s">
        <v>244</v>
      </c>
    </row>
    <row r="22" spans="1:6" ht="14.4" x14ac:dyDescent="0.3">
      <c r="A22" s="110" t="s">
        <v>209</v>
      </c>
      <c r="B22" s="110" t="s">
        <v>243</v>
      </c>
      <c r="C22" s="110" t="s">
        <v>232</v>
      </c>
      <c r="E22" s="110" t="s">
        <v>61</v>
      </c>
      <c r="F22" s="110" t="s">
        <v>245</v>
      </c>
    </row>
    <row r="23" spans="1:6" ht="14.4" x14ac:dyDescent="0.3">
      <c r="A23" s="110" t="s">
        <v>213</v>
      </c>
      <c r="B23" s="110" t="s">
        <v>244</v>
      </c>
      <c r="C23" s="110" t="s">
        <v>217</v>
      </c>
      <c r="E23" s="110" t="s">
        <v>64</v>
      </c>
      <c r="F23" s="110" t="s">
        <v>246</v>
      </c>
    </row>
    <row r="24" spans="1:6" ht="14.4" x14ac:dyDescent="0.3">
      <c r="A24" s="110" t="s">
        <v>213</v>
      </c>
      <c r="B24" s="110" t="s">
        <v>245</v>
      </c>
      <c r="C24" s="110" t="s">
        <v>212</v>
      </c>
      <c r="E24" s="110" t="s">
        <v>159</v>
      </c>
      <c r="F24" s="110" t="s">
        <v>247</v>
      </c>
    </row>
    <row r="25" spans="1:6" ht="14.4" x14ac:dyDescent="0.3">
      <c r="A25" s="110" t="s">
        <v>213</v>
      </c>
      <c r="B25" s="110" t="s">
        <v>246</v>
      </c>
      <c r="C25" s="110" t="s">
        <v>215</v>
      </c>
      <c r="E25" s="110" t="s">
        <v>65</v>
      </c>
      <c r="F25" s="110" t="s">
        <v>248</v>
      </c>
    </row>
    <row r="26" spans="1:6" ht="14.4" x14ac:dyDescent="0.3">
      <c r="A26" s="110" t="s">
        <v>209</v>
      </c>
      <c r="B26" s="110" t="s">
        <v>247</v>
      </c>
      <c r="C26" s="110" t="s">
        <v>211</v>
      </c>
      <c r="E26" s="110" t="s">
        <v>161</v>
      </c>
      <c r="F26" s="110" t="s">
        <v>249</v>
      </c>
    </row>
    <row r="27" spans="1:6" ht="14.4" x14ac:dyDescent="0.3">
      <c r="A27" s="110" t="s">
        <v>213</v>
      </c>
      <c r="B27" s="110" t="s">
        <v>248</v>
      </c>
      <c r="C27" s="110" t="s">
        <v>215</v>
      </c>
      <c r="E27" s="110" t="s">
        <v>250</v>
      </c>
      <c r="F27" s="110" t="s">
        <v>251</v>
      </c>
    </row>
    <row r="28" spans="1:6" ht="14.4" x14ac:dyDescent="0.3">
      <c r="A28" s="110" t="s">
        <v>209</v>
      </c>
      <c r="B28" s="110" t="s">
        <v>249</v>
      </c>
      <c r="C28" s="110" t="s">
        <v>211</v>
      </c>
      <c r="E28" s="110" t="s">
        <v>62</v>
      </c>
      <c r="F28" s="110" t="s">
        <v>252</v>
      </c>
    </row>
    <row r="29" spans="1:6" ht="14.4" x14ac:dyDescent="0.3">
      <c r="A29" s="110" t="s">
        <v>213</v>
      </c>
      <c r="B29" s="110" t="s">
        <v>252</v>
      </c>
      <c r="C29" s="110" t="s">
        <v>212</v>
      </c>
      <c r="E29" s="110" t="s">
        <v>253</v>
      </c>
      <c r="F29" s="110" t="s">
        <v>254</v>
      </c>
    </row>
    <row r="30" spans="1:6" ht="14.4" x14ac:dyDescent="0.3">
      <c r="A30" s="110" t="s">
        <v>218</v>
      </c>
      <c r="B30" s="110" t="s">
        <v>224</v>
      </c>
      <c r="C30" s="110" t="s">
        <v>224</v>
      </c>
      <c r="E30" s="110" t="s">
        <v>40</v>
      </c>
      <c r="F30" s="110" t="s">
        <v>224</v>
      </c>
    </row>
    <row r="31" spans="1:6" ht="14.4" x14ac:dyDescent="0.3">
      <c r="A31" s="110" t="s">
        <v>218</v>
      </c>
      <c r="B31" s="110" t="s">
        <v>224</v>
      </c>
      <c r="C31" s="110" t="s">
        <v>220</v>
      </c>
      <c r="E31" s="110" t="s">
        <v>144</v>
      </c>
      <c r="F31" s="110" t="s">
        <v>255</v>
      </c>
    </row>
    <row r="32" spans="1:6" ht="14.4" x14ac:dyDescent="0.3">
      <c r="A32" s="110" t="s">
        <v>209</v>
      </c>
      <c r="B32" s="110" t="s">
        <v>255</v>
      </c>
      <c r="C32" s="110" t="s">
        <v>211</v>
      </c>
      <c r="E32" s="110" t="s">
        <v>163</v>
      </c>
      <c r="F32" s="110" t="s">
        <v>256</v>
      </c>
    </row>
    <row r="33" spans="1:6" ht="14.4" x14ac:dyDescent="0.3">
      <c r="A33" s="110" t="s">
        <v>209</v>
      </c>
      <c r="B33" s="110" t="s">
        <v>256</v>
      </c>
      <c r="C33" s="110" t="s">
        <v>234</v>
      </c>
      <c r="E33" s="110" t="s">
        <v>165</v>
      </c>
      <c r="F33" s="110" t="s">
        <v>257</v>
      </c>
    </row>
    <row r="34" spans="1:6" ht="14.4" x14ac:dyDescent="0.3">
      <c r="A34" s="110" t="s">
        <v>209</v>
      </c>
      <c r="B34" s="110" t="s">
        <v>257</v>
      </c>
      <c r="C34" s="110" t="s">
        <v>234</v>
      </c>
      <c r="E34" s="110" t="s">
        <v>167</v>
      </c>
      <c r="F34" s="110" t="s">
        <v>258</v>
      </c>
    </row>
    <row r="35" spans="1:6" ht="14.4" x14ac:dyDescent="0.3">
      <c r="A35" s="110" t="s">
        <v>209</v>
      </c>
      <c r="B35" s="110" t="s">
        <v>258</v>
      </c>
      <c r="C35" s="110" t="s">
        <v>211</v>
      </c>
      <c r="E35" s="110" t="s">
        <v>38</v>
      </c>
      <c r="F35" s="110" t="s">
        <v>259</v>
      </c>
    </row>
    <row r="36" spans="1:6" ht="14.4" x14ac:dyDescent="0.3">
      <c r="A36" s="110" t="s">
        <v>218</v>
      </c>
      <c r="B36" s="110" t="s">
        <v>259</v>
      </c>
      <c r="C36" s="110" t="s">
        <v>220</v>
      </c>
      <c r="E36" s="110" t="s">
        <v>169</v>
      </c>
      <c r="F36" s="110" t="s">
        <v>260</v>
      </c>
    </row>
    <row r="37" spans="1:6" ht="14.4" x14ac:dyDescent="0.3">
      <c r="A37" s="110" t="s">
        <v>209</v>
      </c>
      <c r="B37" s="110" t="s">
        <v>260</v>
      </c>
      <c r="C37" s="110" t="s">
        <v>211</v>
      </c>
      <c r="E37" s="110" t="s">
        <v>39</v>
      </c>
      <c r="F37" s="110" t="s">
        <v>261</v>
      </c>
    </row>
    <row r="38" spans="1:6" ht="14.4" x14ac:dyDescent="0.3">
      <c r="A38" s="110" t="s">
        <v>218</v>
      </c>
      <c r="B38" s="110" t="s">
        <v>261</v>
      </c>
      <c r="C38" s="110" t="s">
        <v>220</v>
      </c>
      <c r="E38" s="110" t="s">
        <v>262</v>
      </c>
      <c r="F38" s="110" t="s">
        <v>263</v>
      </c>
    </row>
  </sheetData>
  <hyperlinks>
    <hyperlink ref="D1" location="'Index &amp; Instructions'!A1" display="HOM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outlinePr summaryBelow="0" summaryRight="0"/>
    <pageSetUpPr fitToPage="1"/>
  </sheetPr>
  <dimension ref="A1:Y347"/>
  <sheetViews>
    <sheetView showGridLines="0" workbookViewId="0">
      <pane xSplit="2" ySplit="1" topLeftCell="C2" activePane="bottomRight" state="frozen"/>
      <selection pane="topRight" activeCell="C1" sqref="C1"/>
      <selection pane="bottomLeft" activeCell="A2" sqref="A2"/>
      <selection pane="bottomRight" activeCell="B151" sqref="B151"/>
    </sheetView>
  </sheetViews>
  <sheetFormatPr defaultColWidth="9.109375" defaultRowHeight="13.2" outlineLevelRow="1" x14ac:dyDescent="0.25"/>
  <cols>
    <col min="1" max="1" width="5.33203125" style="499" customWidth="1"/>
    <col min="2" max="2" width="12.44140625" style="6" customWidth="1"/>
    <col min="3" max="4" width="15.109375" style="3" customWidth="1"/>
    <col min="5" max="5" width="14.33203125" style="3" customWidth="1"/>
    <col min="6" max="6" width="9.77734375" style="3" customWidth="1"/>
    <col min="7" max="8" width="13.33203125" style="3" customWidth="1"/>
    <col min="9" max="9" width="15.109375" style="3" customWidth="1"/>
    <col min="10" max="10" width="17.109375" style="66" customWidth="1"/>
    <col min="11" max="11" width="9.109375" style="66" customWidth="1"/>
    <col min="12" max="12" width="15.6640625" style="66" bestFit="1" customWidth="1"/>
    <col min="13" max="13" width="9.5546875" style="66" customWidth="1"/>
    <col min="14" max="14" width="16.109375" style="67" customWidth="1"/>
    <col min="15" max="15" width="12.88671875" style="657" customWidth="1"/>
    <col min="16" max="19" width="9.109375" style="1"/>
    <col min="20" max="20" width="9.77734375" style="1" bestFit="1" customWidth="1"/>
    <col min="21" max="21" width="9.109375" style="1"/>
    <col min="22" max="22" width="12.77734375" style="1" bestFit="1" customWidth="1"/>
    <col min="23" max="23" width="11.77734375" style="1" bestFit="1" customWidth="1"/>
    <col min="24" max="24" width="12.77734375" style="1" bestFit="1" customWidth="1"/>
    <col min="25" max="16384" width="9.109375" style="1"/>
  </cols>
  <sheetData>
    <row r="1" spans="1:15" s="50" customFormat="1" ht="30.6" customHeight="1" collapsed="1" thickBot="1" x14ac:dyDescent="0.3">
      <c r="A1" s="850" t="s">
        <v>14</v>
      </c>
      <c r="B1" s="548" t="s">
        <v>15</v>
      </c>
      <c r="C1" s="549" t="s">
        <v>318</v>
      </c>
      <c r="D1" s="549" t="s">
        <v>317</v>
      </c>
      <c r="E1" s="550" t="s">
        <v>310</v>
      </c>
      <c r="F1" s="551" t="s">
        <v>416</v>
      </c>
      <c r="G1" s="551" t="s">
        <v>311</v>
      </c>
      <c r="H1" s="552" t="s">
        <v>447</v>
      </c>
      <c r="I1" s="553" t="s">
        <v>448</v>
      </c>
      <c r="J1" s="554" t="s">
        <v>308</v>
      </c>
      <c r="K1" s="551" t="s">
        <v>418</v>
      </c>
      <c r="L1" s="555" t="s">
        <v>307</v>
      </c>
      <c r="M1" s="556" t="s">
        <v>415</v>
      </c>
      <c r="N1" s="557" t="s">
        <v>309</v>
      </c>
      <c r="O1" s="659" t="s">
        <v>469</v>
      </c>
    </row>
    <row r="2" spans="1:15" ht="15.6" hidden="1" customHeight="1" outlineLevel="1" thickTop="1" x14ac:dyDescent="0.25">
      <c r="A2" s="537">
        <v>1993</v>
      </c>
      <c r="B2" s="538" t="s">
        <v>20</v>
      </c>
      <c r="C2" s="539"/>
      <c r="D2" s="539"/>
      <c r="E2" s="540">
        <v>8981.17</v>
      </c>
      <c r="F2" s="541">
        <f>IF(E2=0,0,+E2/$I2)</f>
        <v>0.96497116745225997</v>
      </c>
      <c r="G2" s="542">
        <v>326.02</v>
      </c>
      <c r="H2" s="541">
        <f>IF(G2=0,0,+G2/$I2)</f>
        <v>3.5028832547739967E-2</v>
      </c>
      <c r="I2" s="543">
        <f t="shared" ref="I2:I33" si="0">E2+G2</f>
        <v>9307.19</v>
      </c>
      <c r="J2" s="544">
        <v>4138844.85</v>
      </c>
      <c r="K2" s="541">
        <f t="shared" ref="K2:K65" si="1">IF(J2=0,0,+J2/$N2)</f>
        <v>0.97041101675703112</v>
      </c>
      <c r="L2" s="545">
        <v>126198.29</v>
      </c>
      <c r="M2" s="559">
        <f t="shared" ref="M2:M65" si="2">IF(L2=0,0,+L2/$N2)</f>
        <v>2.9588983242969026E-2</v>
      </c>
      <c r="N2" s="546">
        <f t="shared" ref="N2:N10" si="3">J2+L2</f>
        <v>4265043.1399999997</v>
      </c>
      <c r="O2" s="660">
        <f>+IF(I2=0,0,N2/I2)</f>
        <v>458.25250585837392</v>
      </c>
    </row>
    <row r="3" spans="1:15" ht="15.6" hidden="1" customHeight="1" outlineLevel="1" x14ac:dyDescent="0.25">
      <c r="A3" s="503">
        <v>1993</v>
      </c>
      <c r="B3" s="504" t="s">
        <v>41</v>
      </c>
      <c r="C3" s="505"/>
      <c r="D3" s="505"/>
      <c r="E3" s="511">
        <v>4093.38</v>
      </c>
      <c r="F3" s="534">
        <f t="shared" ref="F3:H11" si="4">IF(E3=0,0,+E3/$I3)</f>
        <v>1</v>
      </c>
      <c r="G3" s="512">
        <v>0</v>
      </c>
      <c r="H3" s="534">
        <f t="shared" si="4"/>
        <v>0</v>
      </c>
      <c r="I3" s="518">
        <f t="shared" si="0"/>
        <v>4093.38</v>
      </c>
      <c r="J3" s="527">
        <v>2421813.88</v>
      </c>
      <c r="K3" s="534">
        <f t="shared" si="1"/>
        <v>1</v>
      </c>
      <c r="L3" s="528">
        <v>0</v>
      </c>
      <c r="M3" s="560">
        <f t="shared" si="2"/>
        <v>0</v>
      </c>
      <c r="N3" s="522">
        <f t="shared" si="3"/>
        <v>2421813.88</v>
      </c>
      <c r="O3" s="661">
        <f t="shared" ref="O3:O66" si="5">+IF(I3=0,0,N3/I3)</f>
        <v>591.64159691990483</v>
      </c>
    </row>
    <row r="4" spans="1:15" ht="15.6" hidden="1" customHeight="1" outlineLevel="1" x14ac:dyDescent="0.25">
      <c r="A4" s="503">
        <v>1993</v>
      </c>
      <c r="B4" s="504" t="s">
        <v>21</v>
      </c>
      <c r="C4" s="505"/>
      <c r="D4" s="505"/>
      <c r="E4" s="511">
        <v>2177.5500000000002</v>
      </c>
      <c r="F4" s="534">
        <f t="shared" si="4"/>
        <v>1</v>
      </c>
      <c r="G4" s="512">
        <v>0</v>
      </c>
      <c r="H4" s="534">
        <f t="shared" si="4"/>
        <v>0</v>
      </c>
      <c r="I4" s="518">
        <f t="shared" si="0"/>
        <v>2177.5500000000002</v>
      </c>
      <c r="J4" s="527">
        <v>734013.18</v>
      </c>
      <c r="K4" s="534">
        <f t="shared" si="1"/>
        <v>1</v>
      </c>
      <c r="L4" s="528">
        <v>0</v>
      </c>
      <c r="M4" s="560">
        <f t="shared" si="2"/>
        <v>0</v>
      </c>
      <c r="N4" s="522">
        <f t="shared" si="3"/>
        <v>734013.18</v>
      </c>
      <c r="O4" s="661">
        <f t="shared" si="5"/>
        <v>337.08212440586897</v>
      </c>
    </row>
    <row r="5" spans="1:15" ht="15.6" hidden="1" customHeight="1" outlineLevel="1" x14ac:dyDescent="0.25">
      <c r="A5" s="503">
        <v>1993</v>
      </c>
      <c r="B5" s="504" t="s">
        <v>22</v>
      </c>
      <c r="C5" s="505"/>
      <c r="D5" s="505"/>
      <c r="E5" s="511">
        <v>25577.24</v>
      </c>
      <c r="F5" s="534">
        <f t="shared" si="4"/>
        <v>0.95303930500362366</v>
      </c>
      <c r="G5" s="512">
        <v>1260.31</v>
      </c>
      <c r="H5" s="534">
        <f t="shared" si="4"/>
        <v>4.696069499637634E-2</v>
      </c>
      <c r="I5" s="518">
        <f t="shared" si="0"/>
        <v>26837.550000000003</v>
      </c>
      <c r="J5" s="527">
        <v>7171875.4299999997</v>
      </c>
      <c r="K5" s="534">
        <f t="shared" si="1"/>
        <v>0.94370824025083766</v>
      </c>
      <c r="L5" s="528">
        <v>427799.05</v>
      </c>
      <c r="M5" s="560">
        <f t="shared" si="2"/>
        <v>5.6291759749162312E-2</v>
      </c>
      <c r="N5" s="522">
        <f t="shared" si="3"/>
        <v>7599674.4799999995</v>
      </c>
      <c r="O5" s="661">
        <f t="shared" si="5"/>
        <v>283.17318384129692</v>
      </c>
    </row>
    <row r="6" spans="1:15" ht="15.6" hidden="1" customHeight="1" outlineLevel="1" x14ac:dyDescent="0.25">
      <c r="A6" s="503">
        <v>1993</v>
      </c>
      <c r="B6" s="504" t="s">
        <v>23</v>
      </c>
      <c r="C6" s="505"/>
      <c r="D6" s="505"/>
      <c r="E6" s="511">
        <v>19775.41</v>
      </c>
      <c r="F6" s="534">
        <f t="shared" si="4"/>
        <v>1</v>
      </c>
      <c r="G6" s="512">
        <v>0</v>
      </c>
      <c r="H6" s="534">
        <f t="shared" si="4"/>
        <v>0</v>
      </c>
      <c r="I6" s="518">
        <f t="shared" si="0"/>
        <v>19775.41</v>
      </c>
      <c r="J6" s="527">
        <v>7756501.8099999996</v>
      </c>
      <c r="K6" s="534">
        <f t="shared" si="1"/>
        <v>1</v>
      </c>
      <c r="L6" s="528">
        <v>0</v>
      </c>
      <c r="M6" s="560">
        <f t="shared" si="2"/>
        <v>0</v>
      </c>
      <c r="N6" s="522">
        <f t="shared" si="3"/>
        <v>7756501.8099999996</v>
      </c>
      <c r="O6" s="661">
        <f t="shared" si="5"/>
        <v>392.22963316563346</v>
      </c>
    </row>
    <row r="7" spans="1:15" ht="15.6" hidden="1" customHeight="1" outlineLevel="1" x14ac:dyDescent="0.25">
      <c r="A7" s="503">
        <v>1993</v>
      </c>
      <c r="B7" s="504" t="s">
        <v>24</v>
      </c>
      <c r="C7" s="505"/>
      <c r="D7" s="505"/>
      <c r="E7" s="511">
        <v>10882.67</v>
      </c>
      <c r="F7" s="534">
        <f t="shared" si="4"/>
        <v>0.69200271646168143</v>
      </c>
      <c r="G7" s="512">
        <v>4843.67</v>
      </c>
      <c r="H7" s="534">
        <f t="shared" si="4"/>
        <v>0.30799728353831851</v>
      </c>
      <c r="I7" s="518">
        <f t="shared" si="0"/>
        <v>15726.34</v>
      </c>
      <c r="J7" s="527">
        <v>2820522.18</v>
      </c>
      <c r="K7" s="534">
        <f t="shared" si="1"/>
        <v>0.57197028576388209</v>
      </c>
      <c r="L7" s="528">
        <v>2110716.8199999998</v>
      </c>
      <c r="M7" s="560">
        <f t="shared" si="2"/>
        <v>0.42802971423611791</v>
      </c>
      <c r="N7" s="522">
        <f t="shared" si="3"/>
        <v>4931239</v>
      </c>
      <c r="O7" s="661">
        <f t="shared" si="5"/>
        <v>313.56558487225891</v>
      </c>
    </row>
    <row r="8" spans="1:15" ht="15.6" hidden="1" customHeight="1" outlineLevel="1" x14ac:dyDescent="0.25">
      <c r="A8" s="503">
        <v>1993</v>
      </c>
      <c r="B8" s="504" t="s">
        <v>25</v>
      </c>
      <c r="C8" s="505"/>
      <c r="D8" s="505"/>
      <c r="E8" s="511">
        <v>104.57</v>
      </c>
      <c r="F8" s="534">
        <f t="shared" si="4"/>
        <v>6.5368751773776726E-3</v>
      </c>
      <c r="G8" s="512">
        <v>15892.37</v>
      </c>
      <c r="H8" s="534">
        <f t="shared" si="4"/>
        <v>0.99346312482262233</v>
      </c>
      <c r="I8" s="518">
        <f t="shared" si="0"/>
        <v>15996.94</v>
      </c>
      <c r="J8" s="527">
        <v>57760.26</v>
      </c>
      <c r="K8" s="534">
        <f t="shared" si="1"/>
        <v>9.1722525991995967E-3</v>
      </c>
      <c r="L8" s="528">
        <v>6239521.6100000003</v>
      </c>
      <c r="M8" s="560">
        <f t="shared" si="2"/>
        <v>0.99082774740080048</v>
      </c>
      <c r="N8" s="522">
        <f t="shared" si="3"/>
        <v>6297281.8700000001</v>
      </c>
      <c r="O8" s="661">
        <f t="shared" si="5"/>
        <v>393.65540347091383</v>
      </c>
    </row>
    <row r="9" spans="1:15" ht="15.6" hidden="1" customHeight="1" outlineLevel="1" x14ac:dyDescent="0.25">
      <c r="A9" s="503">
        <v>1993</v>
      </c>
      <c r="B9" s="504" t="s">
        <v>26</v>
      </c>
      <c r="C9" s="505"/>
      <c r="D9" s="505"/>
      <c r="E9" s="511">
        <v>0</v>
      </c>
      <c r="F9" s="534">
        <f t="shared" si="4"/>
        <v>0</v>
      </c>
      <c r="G9" s="512">
        <v>0</v>
      </c>
      <c r="H9" s="534">
        <f t="shared" si="4"/>
        <v>0</v>
      </c>
      <c r="I9" s="518">
        <f t="shared" si="0"/>
        <v>0</v>
      </c>
      <c r="J9" s="527">
        <v>0</v>
      </c>
      <c r="K9" s="534">
        <f t="shared" si="1"/>
        <v>0</v>
      </c>
      <c r="L9" s="528">
        <v>0</v>
      </c>
      <c r="M9" s="560">
        <f t="shared" si="2"/>
        <v>0</v>
      </c>
      <c r="N9" s="522">
        <f t="shared" si="3"/>
        <v>0</v>
      </c>
      <c r="O9" s="661">
        <f t="shared" si="5"/>
        <v>0</v>
      </c>
    </row>
    <row r="10" spans="1:15" ht="15.6" hidden="1" customHeight="1" outlineLevel="1" thickBot="1" x14ac:dyDescent="0.3">
      <c r="A10" s="506">
        <v>1993</v>
      </c>
      <c r="B10" s="507" t="s">
        <v>27</v>
      </c>
      <c r="C10" s="508"/>
      <c r="D10" s="508"/>
      <c r="E10" s="513">
        <v>1612.61</v>
      </c>
      <c r="F10" s="535">
        <f t="shared" si="4"/>
        <v>0.58020285026570573</v>
      </c>
      <c r="G10" s="514">
        <v>1166.78</v>
      </c>
      <c r="H10" s="535">
        <f t="shared" si="4"/>
        <v>0.41979714973429422</v>
      </c>
      <c r="I10" s="519">
        <f t="shared" si="0"/>
        <v>2779.39</v>
      </c>
      <c r="J10" s="529">
        <v>436337.97</v>
      </c>
      <c r="K10" s="535">
        <f t="shared" si="1"/>
        <v>0.53460683823818866</v>
      </c>
      <c r="L10" s="530">
        <v>379846.82</v>
      </c>
      <c r="M10" s="561">
        <f t="shared" si="2"/>
        <v>0.46539316176181128</v>
      </c>
      <c r="N10" s="523">
        <f t="shared" si="3"/>
        <v>816184.79</v>
      </c>
      <c r="O10" s="662">
        <f t="shared" si="5"/>
        <v>293.65608640744915</v>
      </c>
    </row>
    <row r="11" spans="1:15" s="4" customFormat="1" ht="14.4" collapsed="1" thickTop="1" thickBot="1" x14ac:dyDescent="0.3">
      <c r="A11" s="564">
        <f>+A10</f>
        <v>1993</v>
      </c>
      <c r="B11" s="565" t="s">
        <v>28</v>
      </c>
      <c r="C11" s="566">
        <f>SUM(C2:C10)</f>
        <v>0</v>
      </c>
      <c r="D11" s="566">
        <f>SUM(D2:D10)</f>
        <v>0</v>
      </c>
      <c r="E11" s="515">
        <f t="shared" ref="E11:N11" si="6">SUM(E2:E10)</f>
        <v>73204.600000000006</v>
      </c>
      <c r="F11" s="533">
        <f t="shared" si="4"/>
        <v>0.75707685346777853</v>
      </c>
      <c r="G11" s="516">
        <f t="shared" si="6"/>
        <v>23489.15</v>
      </c>
      <c r="H11" s="558">
        <f t="shared" si="4"/>
        <v>0.24292314653222158</v>
      </c>
      <c r="I11" s="520">
        <f t="shared" si="6"/>
        <v>96693.75</v>
      </c>
      <c r="J11" s="531">
        <f t="shared" si="6"/>
        <v>25537669.559999999</v>
      </c>
      <c r="K11" s="533">
        <f t="shared" si="1"/>
        <v>0.73338266983213829</v>
      </c>
      <c r="L11" s="532">
        <f t="shared" si="6"/>
        <v>9284082.5899999999</v>
      </c>
      <c r="M11" s="562">
        <f t="shared" si="2"/>
        <v>0.26661733016786177</v>
      </c>
      <c r="N11" s="524">
        <f t="shared" si="6"/>
        <v>34821752.149999999</v>
      </c>
      <c r="O11" s="663">
        <f t="shared" si="5"/>
        <v>360.12412539590201</v>
      </c>
    </row>
    <row r="12" spans="1:15" ht="15.6" hidden="1" customHeight="1" outlineLevel="1" thickTop="1" x14ac:dyDescent="0.25">
      <c r="A12" s="500">
        <v>1994</v>
      </c>
      <c r="B12" s="501" t="s">
        <v>20</v>
      </c>
      <c r="C12" s="502"/>
      <c r="D12" s="502"/>
      <c r="E12" s="509">
        <v>10717.44</v>
      </c>
      <c r="F12" s="541">
        <f t="shared" ref="F12:F22" si="7">IF(E12=0,0,+E12/$I12)</f>
        <v>0.72553280503011819</v>
      </c>
      <c r="G12" s="510">
        <v>4054.38</v>
      </c>
      <c r="H12" s="541">
        <f t="shared" ref="H12:H22" si="8">IF(G12=0,0,+G12/$I12)</f>
        <v>0.27446719496988187</v>
      </c>
      <c r="I12" s="517">
        <f t="shared" si="0"/>
        <v>14771.82</v>
      </c>
      <c r="J12" s="525">
        <v>5635288.1900000004</v>
      </c>
      <c r="K12" s="541">
        <f t="shared" si="1"/>
        <v>0.76434619908378632</v>
      </c>
      <c r="L12" s="526">
        <v>1737402.61</v>
      </c>
      <c r="M12" s="559">
        <f t="shared" si="2"/>
        <v>0.23565380091621366</v>
      </c>
      <c r="N12" s="521">
        <f t="shared" ref="N12:N20" si="9">J12+L12</f>
        <v>7372690.8000000007</v>
      </c>
      <c r="O12" s="664">
        <f t="shared" si="5"/>
        <v>499.10510688594911</v>
      </c>
    </row>
    <row r="13" spans="1:15" ht="15.6" hidden="1" customHeight="1" outlineLevel="1" x14ac:dyDescent="0.25">
      <c r="A13" s="503">
        <v>1994</v>
      </c>
      <c r="B13" s="504" t="s">
        <v>41</v>
      </c>
      <c r="C13" s="505"/>
      <c r="D13" s="505"/>
      <c r="E13" s="511">
        <v>2840.97</v>
      </c>
      <c r="F13" s="534">
        <f t="shared" si="7"/>
        <v>0.99996480199361515</v>
      </c>
      <c r="G13" s="512">
        <v>0.1</v>
      </c>
      <c r="H13" s="534">
        <f t="shared" si="8"/>
        <v>3.5198006384918362E-5</v>
      </c>
      <c r="I13" s="518">
        <f t="shared" si="0"/>
        <v>2841.0699999999997</v>
      </c>
      <c r="J13" s="527">
        <v>1228212.8999999999</v>
      </c>
      <c r="K13" s="534">
        <f t="shared" si="1"/>
        <v>0.9999215181387946</v>
      </c>
      <c r="L13" s="528">
        <v>96.4</v>
      </c>
      <c r="M13" s="560">
        <f t="shared" si="2"/>
        <v>7.8481861205479783E-5</v>
      </c>
      <c r="N13" s="522">
        <f t="shared" si="9"/>
        <v>1228309.2999999998</v>
      </c>
      <c r="O13" s="661">
        <f t="shared" si="5"/>
        <v>432.34038584054599</v>
      </c>
    </row>
    <row r="14" spans="1:15" ht="15.6" hidden="1" customHeight="1" outlineLevel="1" x14ac:dyDescent="0.25">
      <c r="A14" s="503">
        <v>1994</v>
      </c>
      <c r="B14" s="504" t="s">
        <v>21</v>
      </c>
      <c r="C14" s="505"/>
      <c r="D14" s="505"/>
      <c r="E14" s="511">
        <v>408.16</v>
      </c>
      <c r="F14" s="534">
        <f t="shared" si="7"/>
        <v>1</v>
      </c>
      <c r="G14" s="512">
        <v>0</v>
      </c>
      <c r="H14" s="534">
        <f t="shared" si="8"/>
        <v>0</v>
      </c>
      <c r="I14" s="518">
        <f t="shared" si="0"/>
        <v>408.16</v>
      </c>
      <c r="J14" s="527">
        <v>123207.03999999999</v>
      </c>
      <c r="K14" s="534">
        <f t="shared" si="1"/>
        <v>1</v>
      </c>
      <c r="L14" s="528">
        <v>0</v>
      </c>
      <c r="M14" s="560">
        <f t="shared" si="2"/>
        <v>0</v>
      </c>
      <c r="N14" s="522">
        <f t="shared" si="9"/>
        <v>123207.03999999999</v>
      </c>
      <c r="O14" s="661">
        <f t="shared" si="5"/>
        <v>301.85966287730298</v>
      </c>
    </row>
    <row r="15" spans="1:15" ht="15.6" hidden="1" customHeight="1" outlineLevel="1" x14ac:dyDescent="0.25">
      <c r="A15" s="503">
        <v>1994</v>
      </c>
      <c r="B15" s="504" t="s">
        <v>22</v>
      </c>
      <c r="C15" s="505"/>
      <c r="D15" s="505"/>
      <c r="E15" s="511">
        <v>39118.720000000001</v>
      </c>
      <c r="F15" s="534">
        <f t="shared" si="7"/>
        <v>0.94993725158036657</v>
      </c>
      <c r="G15" s="512">
        <v>2061.6</v>
      </c>
      <c r="H15" s="534">
        <f t="shared" si="8"/>
        <v>5.0062748419633457E-2</v>
      </c>
      <c r="I15" s="518">
        <f t="shared" si="0"/>
        <v>41180.32</v>
      </c>
      <c r="J15" s="527">
        <v>13865708.9</v>
      </c>
      <c r="K15" s="534">
        <f t="shared" si="1"/>
        <v>0.90821881113172154</v>
      </c>
      <c r="L15" s="528">
        <v>1401216.57</v>
      </c>
      <c r="M15" s="560">
        <f t="shared" si="2"/>
        <v>9.1781188868278407E-2</v>
      </c>
      <c r="N15" s="522">
        <f t="shared" si="9"/>
        <v>15266925.470000001</v>
      </c>
      <c r="O15" s="661">
        <f t="shared" si="5"/>
        <v>370.733531696694</v>
      </c>
    </row>
    <row r="16" spans="1:15" ht="15.6" hidden="1" customHeight="1" outlineLevel="1" x14ac:dyDescent="0.25">
      <c r="A16" s="503">
        <v>1994</v>
      </c>
      <c r="B16" s="504" t="s">
        <v>23</v>
      </c>
      <c r="C16" s="505"/>
      <c r="D16" s="505"/>
      <c r="E16" s="511">
        <v>9227.9699999999993</v>
      </c>
      <c r="F16" s="534">
        <f t="shared" si="7"/>
        <v>1</v>
      </c>
      <c r="G16" s="512">
        <v>0</v>
      </c>
      <c r="H16" s="534">
        <f t="shared" si="8"/>
        <v>0</v>
      </c>
      <c r="I16" s="518">
        <f t="shared" si="0"/>
        <v>9227.9699999999993</v>
      </c>
      <c r="J16" s="527">
        <v>3658511.1</v>
      </c>
      <c r="K16" s="534">
        <f t="shared" si="1"/>
        <v>1</v>
      </c>
      <c r="L16" s="528">
        <v>0</v>
      </c>
      <c r="M16" s="560">
        <f t="shared" si="2"/>
        <v>0</v>
      </c>
      <c r="N16" s="522">
        <f t="shared" si="9"/>
        <v>3658511.1</v>
      </c>
      <c r="O16" s="661">
        <f t="shared" si="5"/>
        <v>396.45892867011923</v>
      </c>
    </row>
    <row r="17" spans="1:15" ht="15.6" hidden="1" customHeight="1" outlineLevel="1" x14ac:dyDescent="0.25">
      <c r="A17" s="503">
        <v>1994</v>
      </c>
      <c r="B17" s="504" t="s">
        <v>24</v>
      </c>
      <c r="C17" s="505"/>
      <c r="D17" s="505"/>
      <c r="E17" s="511">
        <v>18664.8</v>
      </c>
      <c r="F17" s="534">
        <f t="shared" si="7"/>
        <v>1</v>
      </c>
      <c r="G17" s="512">
        <v>0</v>
      </c>
      <c r="H17" s="534">
        <f t="shared" si="8"/>
        <v>0</v>
      </c>
      <c r="I17" s="518">
        <f t="shared" si="0"/>
        <v>18664.8</v>
      </c>
      <c r="J17" s="527">
        <v>5073761.75</v>
      </c>
      <c r="K17" s="534">
        <f t="shared" si="1"/>
        <v>1</v>
      </c>
      <c r="L17" s="528">
        <v>0</v>
      </c>
      <c r="M17" s="560">
        <f t="shared" si="2"/>
        <v>0</v>
      </c>
      <c r="N17" s="522">
        <f t="shared" si="9"/>
        <v>5073761.75</v>
      </c>
      <c r="O17" s="661">
        <f t="shared" si="5"/>
        <v>271.83584876344776</v>
      </c>
    </row>
    <row r="18" spans="1:15" ht="15.6" hidden="1" customHeight="1" outlineLevel="1" x14ac:dyDescent="0.25">
      <c r="A18" s="503">
        <v>1994</v>
      </c>
      <c r="B18" s="504" t="s">
        <v>25</v>
      </c>
      <c r="C18" s="505"/>
      <c r="D18" s="505"/>
      <c r="E18" s="511">
        <v>2461.61</v>
      </c>
      <c r="F18" s="534">
        <f t="shared" si="7"/>
        <v>0.10448304109949533</v>
      </c>
      <c r="G18" s="512">
        <v>21098.29</v>
      </c>
      <c r="H18" s="534">
        <f t="shared" si="8"/>
        <v>0.89551695890050464</v>
      </c>
      <c r="I18" s="518">
        <f t="shared" si="0"/>
        <v>23559.9</v>
      </c>
      <c r="J18" s="527">
        <v>1023242.22</v>
      </c>
      <c r="K18" s="534">
        <f t="shared" si="1"/>
        <v>0.1022800037973583</v>
      </c>
      <c r="L18" s="528">
        <v>8981081.0299999993</v>
      </c>
      <c r="M18" s="560">
        <f t="shared" si="2"/>
        <v>0.89771999620264165</v>
      </c>
      <c r="N18" s="522">
        <f t="shared" si="9"/>
        <v>10004323.25</v>
      </c>
      <c r="O18" s="661">
        <f t="shared" si="5"/>
        <v>424.63351924244159</v>
      </c>
    </row>
    <row r="19" spans="1:15" ht="15.6" hidden="1" customHeight="1" outlineLevel="1" x14ac:dyDescent="0.25">
      <c r="A19" s="503">
        <v>1994</v>
      </c>
      <c r="B19" s="504" t="s">
        <v>26</v>
      </c>
      <c r="C19" s="505"/>
      <c r="D19" s="505"/>
      <c r="E19" s="511">
        <v>209.2</v>
      </c>
      <c r="F19" s="534">
        <f t="shared" si="7"/>
        <v>0.99114037996873072</v>
      </c>
      <c r="G19" s="512">
        <v>1.87</v>
      </c>
      <c r="H19" s="534">
        <f t="shared" si="8"/>
        <v>8.859620031269248E-3</v>
      </c>
      <c r="I19" s="518">
        <f t="shared" si="0"/>
        <v>211.07</v>
      </c>
      <c r="J19" s="527">
        <v>9001.8700000000008</v>
      </c>
      <c r="K19" s="534">
        <f t="shared" si="1"/>
        <v>0.90794814070676144</v>
      </c>
      <c r="L19" s="528">
        <v>912.65</v>
      </c>
      <c r="M19" s="560">
        <f t="shared" si="2"/>
        <v>9.20518592932386E-2</v>
      </c>
      <c r="N19" s="522">
        <f t="shared" si="9"/>
        <v>9914.52</v>
      </c>
      <c r="O19" s="661">
        <f t="shared" si="5"/>
        <v>46.97266309755058</v>
      </c>
    </row>
    <row r="20" spans="1:15" ht="15.6" hidden="1" customHeight="1" outlineLevel="1" thickBot="1" x14ac:dyDescent="0.3">
      <c r="A20" s="506">
        <v>1994</v>
      </c>
      <c r="B20" s="507" t="s">
        <v>27</v>
      </c>
      <c r="C20" s="508"/>
      <c r="D20" s="508"/>
      <c r="E20" s="513">
        <v>3230.56</v>
      </c>
      <c r="F20" s="535">
        <f t="shared" si="7"/>
        <v>0.98355944175171106</v>
      </c>
      <c r="G20" s="514">
        <v>54</v>
      </c>
      <c r="H20" s="535">
        <f t="shared" si="8"/>
        <v>1.6440558248288963E-2</v>
      </c>
      <c r="I20" s="519">
        <f t="shared" si="0"/>
        <v>3284.56</v>
      </c>
      <c r="J20" s="529">
        <v>1229605.04</v>
      </c>
      <c r="K20" s="535">
        <f t="shared" si="1"/>
        <v>0.98396817052066488</v>
      </c>
      <c r="L20" s="530">
        <v>20034</v>
      </c>
      <c r="M20" s="561">
        <f t="shared" si="2"/>
        <v>1.6031829479335086E-2</v>
      </c>
      <c r="N20" s="523">
        <f t="shared" si="9"/>
        <v>1249639.04</v>
      </c>
      <c r="O20" s="662">
        <f t="shared" si="5"/>
        <v>380.45858197140564</v>
      </c>
    </row>
    <row r="21" spans="1:15" s="4" customFormat="1" ht="14.4" collapsed="1" thickTop="1" thickBot="1" x14ac:dyDescent="0.3">
      <c r="A21" s="564">
        <f>+A20</f>
        <v>1994</v>
      </c>
      <c r="B21" s="565" t="s">
        <v>28</v>
      </c>
      <c r="C21" s="566">
        <f>SUM(C12:C20)</f>
        <v>0</v>
      </c>
      <c r="D21" s="566">
        <f>SUM(D12:D20)</f>
        <v>0</v>
      </c>
      <c r="E21" s="515">
        <f t="shared" ref="E21:N21" si="10">SUM(E12:E20)</f>
        <v>86879.43</v>
      </c>
      <c r="F21" s="533">
        <f t="shared" si="7"/>
        <v>0.76110101763763294</v>
      </c>
      <c r="G21" s="516">
        <f t="shared" si="10"/>
        <v>27270.240000000002</v>
      </c>
      <c r="H21" s="558">
        <f t="shared" si="8"/>
        <v>0.23889898236236687</v>
      </c>
      <c r="I21" s="520">
        <f t="shared" si="10"/>
        <v>114149.67000000001</v>
      </c>
      <c r="J21" s="531">
        <f t="shared" si="10"/>
        <v>31846539.010000002</v>
      </c>
      <c r="K21" s="533">
        <f t="shared" si="1"/>
        <v>0.72399424030158432</v>
      </c>
      <c r="L21" s="532">
        <f t="shared" si="10"/>
        <v>12140743.26</v>
      </c>
      <c r="M21" s="562">
        <f t="shared" si="2"/>
        <v>0.27600575969841562</v>
      </c>
      <c r="N21" s="524">
        <f t="shared" si="10"/>
        <v>43987282.270000003</v>
      </c>
      <c r="O21" s="663">
        <f t="shared" si="5"/>
        <v>385.34743262945921</v>
      </c>
    </row>
    <row r="22" spans="1:15" ht="15.6" hidden="1" customHeight="1" outlineLevel="1" thickTop="1" x14ac:dyDescent="0.25">
      <c r="A22" s="500">
        <v>1995</v>
      </c>
      <c r="B22" s="501" t="s">
        <v>20</v>
      </c>
      <c r="C22" s="502"/>
      <c r="D22" s="502"/>
      <c r="E22" s="509">
        <v>8369.2199999999993</v>
      </c>
      <c r="F22" s="541">
        <f t="shared" si="7"/>
        <v>0.61299090535549094</v>
      </c>
      <c r="G22" s="510">
        <v>5283.87</v>
      </c>
      <c r="H22" s="541">
        <f t="shared" si="8"/>
        <v>0.38700909464450906</v>
      </c>
      <c r="I22" s="517">
        <f t="shared" si="0"/>
        <v>13653.09</v>
      </c>
      <c r="J22" s="525">
        <v>5860295.8300000001</v>
      </c>
      <c r="K22" s="541">
        <f t="shared" si="1"/>
        <v>0.70800476925631783</v>
      </c>
      <c r="L22" s="526">
        <v>2416902.41</v>
      </c>
      <c r="M22" s="559">
        <f t="shared" si="2"/>
        <v>0.29199523074368217</v>
      </c>
      <c r="N22" s="521">
        <f t="shared" ref="N22:N30" si="11">J22+L22</f>
        <v>8277198.2400000002</v>
      </c>
      <c r="O22" s="664">
        <f t="shared" si="5"/>
        <v>606.25091023350762</v>
      </c>
    </row>
    <row r="23" spans="1:15" ht="15.6" hidden="1" customHeight="1" outlineLevel="1" x14ac:dyDescent="0.25">
      <c r="A23" s="503">
        <v>1995</v>
      </c>
      <c r="B23" s="504" t="s">
        <v>41</v>
      </c>
      <c r="C23" s="505"/>
      <c r="D23" s="505"/>
      <c r="E23" s="511">
        <v>12371.59</v>
      </c>
      <c r="F23" s="534">
        <f t="shared" ref="F23:F86" si="12">IF(E23=0,0,+E23/$I23)</f>
        <v>0.99619289033543301</v>
      </c>
      <c r="G23" s="512">
        <v>47.28</v>
      </c>
      <c r="H23" s="534">
        <f t="shared" ref="H23:H86" si="13">IF(G23=0,0,+G23/$I23)</f>
        <v>3.8071096645669049E-3</v>
      </c>
      <c r="I23" s="518">
        <f t="shared" si="0"/>
        <v>12418.87</v>
      </c>
      <c r="J23" s="527">
        <v>7980241.3399999999</v>
      </c>
      <c r="K23" s="534">
        <f t="shared" si="1"/>
        <v>0.99446409175091877</v>
      </c>
      <c r="L23" s="528">
        <v>44423.81</v>
      </c>
      <c r="M23" s="560">
        <f t="shared" si="2"/>
        <v>5.5359082490812721E-3</v>
      </c>
      <c r="N23" s="522">
        <f t="shared" si="11"/>
        <v>8024665.1499999994</v>
      </c>
      <c r="O23" s="661">
        <f t="shared" si="5"/>
        <v>646.16709491282211</v>
      </c>
    </row>
    <row r="24" spans="1:15" ht="15.6" hidden="1" customHeight="1" outlineLevel="1" x14ac:dyDescent="0.25">
      <c r="A24" s="503">
        <v>1995</v>
      </c>
      <c r="B24" s="504" t="s">
        <v>21</v>
      </c>
      <c r="C24" s="505"/>
      <c r="D24" s="505"/>
      <c r="E24" s="511">
        <v>0</v>
      </c>
      <c r="F24" s="534">
        <f t="shared" si="12"/>
        <v>0</v>
      </c>
      <c r="G24" s="512">
        <v>3014.4</v>
      </c>
      <c r="H24" s="534">
        <f t="shared" si="13"/>
        <v>1</v>
      </c>
      <c r="I24" s="518">
        <f t="shared" si="0"/>
        <v>3014.4</v>
      </c>
      <c r="J24" s="527">
        <v>0</v>
      </c>
      <c r="K24" s="534">
        <f t="shared" si="1"/>
        <v>0</v>
      </c>
      <c r="L24" s="528">
        <v>1629183.51</v>
      </c>
      <c r="M24" s="560">
        <f t="shared" si="2"/>
        <v>1</v>
      </c>
      <c r="N24" s="522">
        <f t="shared" si="11"/>
        <v>1629183.51</v>
      </c>
      <c r="O24" s="661">
        <f t="shared" si="5"/>
        <v>540.46692874203825</v>
      </c>
    </row>
    <row r="25" spans="1:15" ht="15.6" hidden="1" customHeight="1" outlineLevel="1" x14ac:dyDescent="0.25">
      <c r="A25" s="503">
        <v>1995</v>
      </c>
      <c r="B25" s="504" t="s">
        <v>22</v>
      </c>
      <c r="C25" s="505"/>
      <c r="D25" s="505"/>
      <c r="E25" s="511">
        <v>39965.199999999997</v>
      </c>
      <c r="F25" s="534">
        <f t="shared" si="12"/>
        <v>0.99999824847924212</v>
      </c>
      <c r="G25" s="512">
        <v>7.0000000000000007E-2</v>
      </c>
      <c r="H25" s="534">
        <f t="shared" si="13"/>
        <v>1.7515207578980452E-6</v>
      </c>
      <c r="I25" s="518">
        <f t="shared" si="0"/>
        <v>39965.269999999997</v>
      </c>
      <c r="J25" s="527">
        <v>18458389.199999999</v>
      </c>
      <c r="K25" s="534">
        <f t="shared" si="1"/>
        <v>0.99999855025479656</v>
      </c>
      <c r="L25" s="528">
        <v>26.76</v>
      </c>
      <c r="M25" s="560">
        <f t="shared" si="2"/>
        <v>1.4497452033798462E-6</v>
      </c>
      <c r="N25" s="522">
        <f t="shared" si="11"/>
        <v>18458415.960000001</v>
      </c>
      <c r="O25" s="661">
        <f t="shared" si="5"/>
        <v>461.86141016937961</v>
      </c>
    </row>
    <row r="26" spans="1:15" ht="15.6" hidden="1" customHeight="1" outlineLevel="1" x14ac:dyDescent="0.25">
      <c r="A26" s="503">
        <v>1995</v>
      </c>
      <c r="B26" s="504" t="s">
        <v>23</v>
      </c>
      <c r="C26" s="505"/>
      <c r="D26" s="505"/>
      <c r="E26" s="511">
        <v>16622.88</v>
      </c>
      <c r="F26" s="534">
        <f t="shared" si="12"/>
        <v>1</v>
      </c>
      <c r="G26" s="512">
        <v>0</v>
      </c>
      <c r="H26" s="534">
        <f t="shared" si="13"/>
        <v>0</v>
      </c>
      <c r="I26" s="518">
        <f t="shared" si="0"/>
        <v>16622.88</v>
      </c>
      <c r="J26" s="527">
        <v>10488898.35</v>
      </c>
      <c r="K26" s="534">
        <f t="shared" si="1"/>
        <v>1</v>
      </c>
      <c r="L26" s="528">
        <v>0</v>
      </c>
      <c r="M26" s="560">
        <f t="shared" si="2"/>
        <v>0</v>
      </c>
      <c r="N26" s="522">
        <f t="shared" si="11"/>
        <v>10488898.35</v>
      </c>
      <c r="O26" s="661">
        <f t="shared" si="5"/>
        <v>630.99164224249944</v>
      </c>
    </row>
    <row r="27" spans="1:15" ht="15.6" hidden="1" customHeight="1" outlineLevel="1" x14ac:dyDescent="0.25">
      <c r="A27" s="503">
        <v>1995</v>
      </c>
      <c r="B27" s="504" t="s">
        <v>24</v>
      </c>
      <c r="C27" s="505"/>
      <c r="D27" s="505"/>
      <c r="E27" s="511">
        <v>12527.53</v>
      </c>
      <c r="F27" s="534">
        <f t="shared" si="12"/>
        <v>0.97514106526949318</v>
      </c>
      <c r="G27" s="512">
        <v>319.36</v>
      </c>
      <c r="H27" s="534">
        <f t="shared" si="13"/>
        <v>2.4858934730506758E-2</v>
      </c>
      <c r="I27" s="518">
        <f t="shared" si="0"/>
        <v>12846.890000000001</v>
      </c>
      <c r="J27" s="527">
        <v>3344260.81</v>
      </c>
      <c r="K27" s="534">
        <f t="shared" si="1"/>
        <v>0.96413680696265602</v>
      </c>
      <c r="L27" s="528">
        <v>124397.15</v>
      </c>
      <c r="M27" s="560">
        <f t="shared" si="2"/>
        <v>3.5863193037344046E-2</v>
      </c>
      <c r="N27" s="522">
        <f t="shared" si="11"/>
        <v>3468657.96</v>
      </c>
      <c r="O27" s="661">
        <f t="shared" si="5"/>
        <v>269.99981785474927</v>
      </c>
    </row>
    <row r="28" spans="1:15" ht="15.6" hidden="1" customHeight="1" outlineLevel="1" x14ac:dyDescent="0.25">
      <c r="A28" s="503">
        <v>1995</v>
      </c>
      <c r="B28" s="504" t="s">
        <v>25</v>
      </c>
      <c r="C28" s="505"/>
      <c r="D28" s="505"/>
      <c r="E28" s="511">
        <v>17.690000000000001</v>
      </c>
      <c r="F28" s="534">
        <f t="shared" si="12"/>
        <v>1.538145843006523E-3</v>
      </c>
      <c r="G28" s="512">
        <v>11483.17</v>
      </c>
      <c r="H28" s="534">
        <f t="shared" si="13"/>
        <v>0.9984618541569934</v>
      </c>
      <c r="I28" s="518">
        <f t="shared" si="0"/>
        <v>11500.86</v>
      </c>
      <c r="J28" s="527">
        <v>9643.7999999999993</v>
      </c>
      <c r="K28" s="534">
        <f t="shared" si="1"/>
        <v>1.3068984113205062E-3</v>
      </c>
      <c r="L28" s="528">
        <v>7369506.6500000004</v>
      </c>
      <c r="M28" s="560">
        <f t="shared" si="2"/>
        <v>0.99869310158867952</v>
      </c>
      <c r="N28" s="522">
        <f t="shared" si="11"/>
        <v>7379150.4500000002</v>
      </c>
      <c r="O28" s="661">
        <f t="shared" si="5"/>
        <v>641.61727470815219</v>
      </c>
    </row>
    <row r="29" spans="1:15" ht="15.6" hidden="1" customHeight="1" outlineLevel="1" x14ac:dyDescent="0.25">
      <c r="A29" s="503">
        <v>1995</v>
      </c>
      <c r="B29" s="504" t="s">
        <v>26</v>
      </c>
      <c r="C29" s="505"/>
      <c r="D29" s="505"/>
      <c r="E29" s="511">
        <v>0</v>
      </c>
      <c r="F29" s="534">
        <f t="shared" si="12"/>
        <v>0</v>
      </c>
      <c r="G29" s="512">
        <v>0</v>
      </c>
      <c r="H29" s="534">
        <f t="shared" si="13"/>
        <v>0</v>
      </c>
      <c r="I29" s="518">
        <f t="shared" si="0"/>
        <v>0</v>
      </c>
      <c r="J29" s="527">
        <v>0</v>
      </c>
      <c r="K29" s="534">
        <f t="shared" si="1"/>
        <v>0</v>
      </c>
      <c r="L29" s="528">
        <v>0</v>
      </c>
      <c r="M29" s="560">
        <f t="shared" si="2"/>
        <v>0</v>
      </c>
      <c r="N29" s="522">
        <f t="shared" si="11"/>
        <v>0</v>
      </c>
      <c r="O29" s="661">
        <f t="shared" si="5"/>
        <v>0</v>
      </c>
    </row>
    <row r="30" spans="1:15" ht="15.6" hidden="1" customHeight="1" outlineLevel="1" thickBot="1" x14ac:dyDescent="0.3">
      <c r="A30" s="506">
        <v>1995</v>
      </c>
      <c r="B30" s="507" t="s">
        <v>27</v>
      </c>
      <c r="C30" s="508"/>
      <c r="D30" s="508"/>
      <c r="E30" s="513">
        <v>4215.08</v>
      </c>
      <c r="F30" s="535">
        <f t="shared" si="12"/>
        <v>0.66757892802954721</v>
      </c>
      <c r="G30" s="514">
        <v>2098.9</v>
      </c>
      <c r="H30" s="535">
        <f t="shared" si="13"/>
        <v>0.3324210719704529</v>
      </c>
      <c r="I30" s="519">
        <f t="shared" si="0"/>
        <v>6313.98</v>
      </c>
      <c r="J30" s="529">
        <v>1186460.82</v>
      </c>
      <c r="K30" s="535">
        <f t="shared" si="1"/>
        <v>0.71518087940652775</v>
      </c>
      <c r="L30" s="530">
        <v>472505.26</v>
      </c>
      <c r="M30" s="561">
        <f t="shared" si="2"/>
        <v>0.28481912059347231</v>
      </c>
      <c r="N30" s="523">
        <f t="shared" si="11"/>
        <v>1658966.08</v>
      </c>
      <c r="O30" s="662">
        <f t="shared" si="5"/>
        <v>262.74490574883038</v>
      </c>
    </row>
    <row r="31" spans="1:15" s="4" customFormat="1" ht="14.4" collapsed="1" thickTop="1" thickBot="1" x14ac:dyDescent="0.3">
      <c r="A31" s="564">
        <f>+A30</f>
        <v>1995</v>
      </c>
      <c r="B31" s="565" t="s">
        <v>28</v>
      </c>
      <c r="C31" s="566">
        <f>SUM(C22:C30)</f>
        <v>0</v>
      </c>
      <c r="D31" s="566">
        <f>SUM(D22:D30)</f>
        <v>0</v>
      </c>
      <c r="E31" s="515">
        <f t="shared" ref="E31:N31" si="14">SUM(E22:E30)</f>
        <v>94089.19</v>
      </c>
      <c r="F31" s="533">
        <f t="shared" si="12"/>
        <v>0.80876939120604208</v>
      </c>
      <c r="G31" s="516">
        <f t="shared" si="14"/>
        <v>22247.050000000003</v>
      </c>
      <c r="H31" s="558">
        <f t="shared" si="13"/>
        <v>0.19123060879395795</v>
      </c>
      <c r="I31" s="520">
        <f t="shared" si="14"/>
        <v>116336.24</v>
      </c>
      <c r="J31" s="531">
        <f t="shared" si="14"/>
        <v>47328190.149999999</v>
      </c>
      <c r="K31" s="533">
        <f t="shared" si="1"/>
        <v>0.79697031238744809</v>
      </c>
      <c r="L31" s="532">
        <f t="shared" si="14"/>
        <v>12056945.550000001</v>
      </c>
      <c r="M31" s="562">
        <f t="shared" si="2"/>
        <v>0.20302968761255183</v>
      </c>
      <c r="N31" s="524">
        <f t="shared" si="14"/>
        <v>59385135.700000003</v>
      </c>
      <c r="O31" s="663">
        <f t="shared" si="5"/>
        <v>510.4611916286791</v>
      </c>
    </row>
    <row r="32" spans="1:15" ht="15.6" hidden="1" customHeight="1" outlineLevel="1" thickTop="1" x14ac:dyDescent="0.25">
      <c r="A32" s="500">
        <v>1996</v>
      </c>
      <c r="B32" s="501" t="s">
        <v>20</v>
      </c>
      <c r="C32" s="502">
        <v>10974</v>
      </c>
      <c r="D32" s="502">
        <v>19733</v>
      </c>
      <c r="E32" s="509">
        <v>6050.58</v>
      </c>
      <c r="F32" s="541">
        <f>IF(E32=0,0,+E32/$I32)</f>
        <v>0.58243561815523259</v>
      </c>
      <c r="G32" s="510">
        <v>4337.83</v>
      </c>
      <c r="H32" s="541">
        <f>IF(G32=0,0,+G32/$I32)</f>
        <v>0.41756438184476741</v>
      </c>
      <c r="I32" s="517">
        <f t="shared" si="0"/>
        <v>10388.41</v>
      </c>
      <c r="J32" s="525">
        <v>3514646.43</v>
      </c>
      <c r="K32" s="541">
        <f t="shared" si="1"/>
        <v>0.50959126728406434</v>
      </c>
      <c r="L32" s="526">
        <v>3382344.66</v>
      </c>
      <c r="M32" s="559">
        <f t="shared" si="2"/>
        <v>0.49040873271593571</v>
      </c>
      <c r="N32" s="521">
        <f t="shared" ref="N32:N40" si="15">J32+L32</f>
        <v>6896991.0899999999</v>
      </c>
      <c r="O32" s="664">
        <f t="shared" si="5"/>
        <v>663.91209915665627</v>
      </c>
    </row>
    <row r="33" spans="1:15" ht="15.6" hidden="1" customHeight="1" outlineLevel="1" x14ac:dyDescent="0.25">
      <c r="A33" s="503">
        <v>1996</v>
      </c>
      <c r="B33" s="504" t="s">
        <v>41</v>
      </c>
      <c r="C33" s="505">
        <v>13250</v>
      </c>
      <c r="D33" s="505">
        <v>6020</v>
      </c>
      <c r="E33" s="511">
        <v>7144.47</v>
      </c>
      <c r="F33" s="534">
        <f t="shared" si="12"/>
        <v>0.99834970124142708</v>
      </c>
      <c r="G33" s="512">
        <v>11.81</v>
      </c>
      <c r="H33" s="534">
        <f t="shared" si="13"/>
        <v>1.6502987585728897E-3</v>
      </c>
      <c r="I33" s="518">
        <f t="shared" si="0"/>
        <v>7156.2800000000007</v>
      </c>
      <c r="J33" s="527">
        <v>4821057.47</v>
      </c>
      <c r="K33" s="534">
        <f t="shared" si="1"/>
        <v>0.99770398785973669</v>
      </c>
      <c r="L33" s="528">
        <v>11094.68</v>
      </c>
      <c r="M33" s="560">
        <f t="shared" si="2"/>
        <v>2.2960121402634233E-3</v>
      </c>
      <c r="N33" s="522">
        <f t="shared" si="15"/>
        <v>4832152.1499999994</v>
      </c>
      <c r="O33" s="661">
        <f t="shared" si="5"/>
        <v>675.23240426590337</v>
      </c>
    </row>
    <row r="34" spans="1:15" ht="15.6" hidden="1" customHeight="1" outlineLevel="1" x14ac:dyDescent="0.25">
      <c r="A34" s="503">
        <v>1996</v>
      </c>
      <c r="B34" s="504" t="s">
        <v>21</v>
      </c>
      <c r="C34" s="505">
        <v>3300</v>
      </c>
      <c r="D34" s="505">
        <v>3170</v>
      </c>
      <c r="E34" s="511">
        <v>836.01</v>
      </c>
      <c r="F34" s="534">
        <f t="shared" si="12"/>
        <v>1</v>
      </c>
      <c r="G34" s="512">
        <v>0</v>
      </c>
      <c r="H34" s="534">
        <f t="shared" si="13"/>
        <v>0</v>
      </c>
      <c r="I34" s="518">
        <f t="shared" ref="I34:I65" si="16">E34+G34</f>
        <v>836.01</v>
      </c>
      <c r="J34" s="527">
        <v>447914.53</v>
      </c>
      <c r="K34" s="534">
        <f t="shared" si="1"/>
        <v>1</v>
      </c>
      <c r="L34" s="528">
        <v>0</v>
      </c>
      <c r="M34" s="560">
        <f t="shared" si="2"/>
        <v>0</v>
      </c>
      <c r="N34" s="522">
        <f t="shared" si="15"/>
        <v>447914.53</v>
      </c>
      <c r="O34" s="661">
        <f t="shared" si="5"/>
        <v>535.77652181194014</v>
      </c>
    </row>
    <row r="35" spans="1:15" ht="15.6" hidden="1" customHeight="1" outlineLevel="1" x14ac:dyDescent="0.25">
      <c r="A35" s="503">
        <v>1996</v>
      </c>
      <c r="B35" s="504" t="s">
        <v>22</v>
      </c>
      <c r="C35" s="505">
        <v>24997</v>
      </c>
      <c r="D35" s="505">
        <v>27790</v>
      </c>
      <c r="E35" s="511">
        <v>32635.24</v>
      </c>
      <c r="F35" s="534">
        <f t="shared" si="12"/>
        <v>1</v>
      </c>
      <c r="G35" s="512">
        <v>0</v>
      </c>
      <c r="H35" s="534">
        <f t="shared" si="13"/>
        <v>0</v>
      </c>
      <c r="I35" s="518">
        <f t="shared" si="16"/>
        <v>32635.24</v>
      </c>
      <c r="J35" s="527">
        <v>15523971.789999999</v>
      </c>
      <c r="K35" s="534">
        <f t="shared" si="1"/>
        <v>1</v>
      </c>
      <c r="L35" s="528">
        <v>0</v>
      </c>
      <c r="M35" s="560">
        <f t="shared" si="2"/>
        <v>0</v>
      </c>
      <c r="N35" s="522">
        <f t="shared" si="15"/>
        <v>15523971.789999999</v>
      </c>
      <c r="O35" s="661">
        <f t="shared" si="5"/>
        <v>475.68125100351637</v>
      </c>
    </row>
    <row r="36" spans="1:15" ht="15.6" hidden="1" customHeight="1" outlineLevel="1" x14ac:dyDescent="0.25">
      <c r="A36" s="503">
        <v>1996</v>
      </c>
      <c r="B36" s="504" t="s">
        <v>23</v>
      </c>
      <c r="C36" s="505"/>
      <c r="D36" s="505"/>
      <c r="E36" s="511">
        <v>21560.52</v>
      </c>
      <c r="F36" s="534">
        <f t="shared" si="12"/>
        <v>1</v>
      </c>
      <c r="G36" s="512">
        <v>0</v>
      </c>
      <c r="H36" s="534">
        <f t="shared" si="13"/>
        <v>0</v>
      </c>
      <c r="I36" s="518">
        <f t="shared" si="16"/>
        <v>21560.52</v>
      </c>
      <c r="J36" s="527">
        <v>13493618.09</v>
      </c>
      <c r="K36" s="534">
        <f t="shared" si="1"/>
        <v>1</v>
      </c>
      <c r="L36" s="528">
        <v>0</v>
      </c>
      <c r="M36" s="560">
        <f t="shared" si="2"/>
        <v>0</v>
      </c>
      <c r="N36" s="522">
        <f t="shared" si="15"/>
        <v>13493618.09</v>
      </c>
      <c r="O36" s="661">
        <f t="shared" si="5"/>
        <v>625.84845309853381</v>
      </c>
    </row>
    <row r="37" spans="1:15" ht="15.6" hidden="1" customHeight="1" outlineLevel="1" x14ac:dyDescent="0.25">
      <c r="A37" s="503">
        <v>1996</v>
      </c>
      <c r="B37" s="504" t="s">
        <v>24</v>
      </c>
      <c r="C37" s="505">
        <v>15700</v>
      </c>
      <c r="D37" s="505">
        <v>26760</v>
      </c>
      <c r="E37" s="511">
        <v>14906.26</v>
      </c>
      <c r="F37" s="534">
        <f t="shared" si="12"/>
        <v>0.99980146513365564</v>
      </c>
      <c r="G37" s="512">
        <v>2.96</v>
      </c>
      <c r="H37" s="534">
        <f t="shared" si="13"/>
        <v>1.9853486634444995E-4</v>
      </c>
      <c r="I37" s="518">
        <f t="shared" si="16"/>
        <v>14909.22</v>
      </c>
      <c r="J37" s="527">
        <v>5762041.54</v>
      </c>
      <c r="K37" s="534">
        <f t="shared" si="1"/>
        <v>0.99991760370449978</v>
      </c>
      <c r="L37" s="528">
        <v>474.81</v>
      </c>
      <c r="M37" s="560">
        <f t="shared" si="2"/>
        <v>8.2396295500315598E-5</v>
      </c>
      <c r="N37" s="522">
        <f t="shared" si="15"/>
        <v>5762516.3499999996</v>
      </c>
      <c r="O37" s="661">
        <f t="shared" si="5"/>
        <v>386.50689640370189</v>
      </c>
    </row>
    <row r="38" spans="1:15" ht="15.6" hidden="1" customHeight="1" outlineLevel="1" x14ac:dyDescent="0.25">
      <c r="A38" s="503">
        <v>1996</v>
      </c>
      <c r="B38" s="504" t="s">
        <v>25</v>
      </c>
      <c r="C38" s="505">
        <v>8756</v>
      </c>
      <c r="D38" s="505">
        <v>38580</v>
      </c>
      <c r="E38" s="511">
        <v>0</v>
      </c>
      <c r="F38" s="534">
        <f t="shared" si="12"/>
        <v>0</v>
      </c>
      <c r="G38" s="512">
        <v>14337.04</v>
      </c>
      <c r="H38" s="534">
        <f t="shared" si="13"/>
        <v>1</v>
      </c>
      <c r="I38" s="518">
        <f t="shared" si="16"/>
        <v>14337.04</v>
      </c>
      <c r="J38" s="527">
        <v>0</v>
      </c>
      <c r="K38" s="534">
        <f t="shared" si="1"/>
        <v>0</v>
      </c>
      <c r="L38" s="528">
        <v>11987317.689999999</v>
      </c>
      <c r="M38" s="560">
        <f t="shared" si="2"/>
        <v>1</v>
      </c>
      <c r="N38" s="522">
        <f t="shared" si="15"/>
        <v>11987317.689999999</v>
      </c>
      <c r="O38" s="661">
        <f t="shared" si="5"/>
        <v>836.10826851288687</v>
      </c>
    </row>
    <row r="39" spans="1:15" ht="15.6" hidden="1" customHeight="1" outlineLevel="1" x14ac:dyDescent="0.25">
      <c r="A39" s="503">
        <v>1996</v>
      </c>
      <c r="B39" s="504" t="s">
        <v>26</v>
      </c>
      <c r="C39" s="505"/>
      <c r="D39" s="505"/>
      <c r="E39" s="511">
        <v>206.53</v>
      </c>
      <c r="F39" s="534">
        <f t="shared" si="12"/>
        <v>0.91954585930543187</v>
      </c>
      <c r="G39" s="512">
        <v>18.07</v>
      </c>
      <c r="H39" s="534">
        <f t="shared" si="13"/>
        <v>8.0454140694568119E-2</v>
      </c>
      <c r="I39" s="518">
        <f t="shared" si="16"/>
        <v>224.6</v>
      </c>
      <c r="J39" s="527">
        <v>102689.14</v>
      </c>
      <c r="K39" s="534">
        <f t="shared" si="1"/>
        <v>0.96704021721248068</v>
      </c>
      <c r="L39" s="528">
        <v>3499.97</v>
      </c>
      <c r="M39" s="560">
        <f t="shared" si="2"/>
        <v>3.2959782787519355E-2</v>
      </c>
      <c r="N39" s="522">
        <f t="shared" si="15"/>
        <v>106189.11</v>
      </c>
      <c r="O39" s="661">
        <f t="shared" si="5"/>
        <v>472.79211932324131</v>
      </c>
    </row>
    <row r="40" spans="1:15" ht="15.6" hidden="1" customHeight="1" outlineLevel="1" thickBot="1" x14ac:dyDescent="0.3">
      <c r="A40" s="506">
        <v>1996</v>
      </c>
      <c r="B40" s="507" t="s">
        <v>27</v>
      </c>
      <c r="C40" s="508">
        <v>5100</v>
      </c>
      <c r="D40" s="508"/>
      <c r="E40" s="513">
        <v>7474.07</v>
      </c>
      <c r="F40" s="535">
        <f t="shared" si="12"/>
        <v>0.93529107752682017</v>
      </c>
      <c r="G40" s="514">
        <v>517.1</v>
      </c>
      <c r="H40" s="535">
        <f t="shared" si="13"/>
        <v>6.4708922473179775E-2</v>
      </c>
      <c r="I40" s="519">
        <f t="shared" si="16"/>
        <v>7991.17</v>
      </c>
      <c r="J40" s="529">
        <v>3194751.67</v>
      </c>
      <c r="K40" s="535">
        <f t="shared" si="1"/>
        <v>0.95685009516082242</v>
      </c>
      <c r="L40" s="530">
        <v>144069.82999999999</v>
      </c>
      <c r="M40" s="561">
        <f t="shared" si="2"/>
        <v>4.3149904839177529E-2</v>
      </c>
      <c r="N40" s="523">
        <f t="shared" si="15"/>
        <v>3338821.5</v>
      </c>
      <c r="O40" s="662">
        <f t="shared" si="5"/>
        <v>417.81384953642583</v>
      </c>
    </row>
    <row r="41" spans="1:15" s="4" customFormat="1" ht="14.4" collapsed="1" thickTop="1" thickBot="1" x14ac:dyDescent="0.3">
      <c r="A41" s="564">
        <f>+A40</f>
        <v>1996</v>
      </c>
      <c r="B41" s="565" t="s">
        <v>28</v>
      </c>
      <c r="C41" s="566">
        <f>SUM(C32:C40)</f>
        <v>82077</v>
      </c>
      <c r="D41" s="566">
        <f>SUM(D32:D40)</f>
        <v>122053</v>
      </c>
      <c r="E41" s="515">
        <f t="shared" ref="E41:N41" si="17">SUM(E32:E40)</f>
        <v>90813.68</v>
      </c>
      <c r="F41" s="533">
        <f t="shared" si="12"/>
        <v>0.8252901325708849</v>
      </c>
      <c r="G41" s="516">
        <f t="shared" si="17"/>
        <v>19224.809999999998</v>
      </c>
      <c r="H41" s="558">
        <f t="shared" si="13"/>
        <v>0.17470986742911501</v>
      </c>
      <c r="I41" s="520">
        <f t="shared" si="17"/>
        <v>110038.49</v>
      </c>
      <c r="J41" s="531">
        <f t="shared" si="17"/>
        <v>46860690.660000004</v>
      </c>
      <c r="K41" s="533">
        <f t="shared" si="1"/>
        <v>0.75109908627995059</v>
      </c>
      <c r="L41" s="532">
        <f t="shared" si="17"/>
        <v>15528801.640000001</v>
      </c>
      <c r="M41" s="562">
        <f t="shared" si="2"/>
        <v>0.24890091372004966</v>
      </c>
      <c r="N41" s="524">
        <f t="shared" si="17"/>
        <v>62389492.29999999</v>
      </c>
      <c r="O41" s="663">
        <f t="shared" si="5"/>
        <v>566.97881168671063</v>
      </c>
    </row>
    <row r="42" spans="1:15" ht="15.6" hidden="1" customHeight="1" outlineLevel="1" thickTop="1" x14ac:dyDescent="0.25">
      <c r="A42" s="500">
        <v>1997</v>
      </c>
      <c r="B42" s="501" t="s">
        <v>20</v>
      </c>
      <c r="C42" s="502">
        <v>17000</v>
      </c>
      <c r="D42" s="502">
        <v>16874</v>
      </c>
      <c r="E42" s="509">
        <v>15906.27</v>
      </c>
      <c r="F42" s="541">
        <f>IF(E42=0,0,+E42/$I42)</f>
        <v>0.95729268790296518</v>
      </c>
      <c r="G42" s="510">
        <v>709.62</v>
      </c>
      <c r="H42" s="541">
        <f>IF(G42=0,0,+G42/$I42)</f>
        <v>4.2707312097034829E-2</v>
      </c>
      <c r="I42" s="517">
        <f t="shared" si="16"/>
        <v>16615.89</v>
      </c>
      <c r="J42" s="525">
        <v>9906395.8200000003</v>
      </c>
      <c r="K42" s="541">
        <f t="shared" si="1"/>
        <v>0.96413062440478015</v>
      </c>
      <c r="L42" s="526">
        <v>368556.11</v>
      </c>
      <c r="M42" s="559">
        <f t="shared" si="2"/>
        <v>3.5869375595219938E-2</v>
      </c>
      <c r="N42" s="521">
        <f t="shared" ref="N42:N50" si="18">J42+L42</f>
        <v>10274951.93</v>
      </c>
      <c r="O42" s="664">
        <f t="shared" si="5"/>
        <v>618.38107558487684</v>
      </c>
    </row>
    <row r="43" spans="1:15" ht="15.6" hidden="1" customHeight="1" outlineLevel="1" x14ac:dyDescent="0.25">
      <c r="A43" s="503">
        <v>1997</v>
      </c>
      <c r="B43" s="504" t="s">
        <v>41</v>
      </c>
      <c r="C43" s="505">
        <v>21300</v>
      </c>
      <c r="D43" s="505">
        <v>38030</v>
      </c>
      <c r="E43" s="511">
        <v>6192.79</v>
      </c>
      <c r="F43" s="534">
        <f t="shared" si="12"/>
        <v>1</v>
      </c>
      <c r="G43" s="512">
        <v>0</v>
      </c>
      <c r="H43" s="534">
        <f t="shared" si="13"/>
        <v>0</v>
      </c>
      <c r="I43" s="518">
        <f t="shared" si="16"/>
        <v>6192.79</v>
      </c>
      <c r="J43" s="527">
        <v>2837709.02</v>
      </c>
      <c r="K43" s="534">
        <f t="shared" si="1"/>
        <v>1</v>
      </c>
      <c r="L43" s="528">
        <v>0</v>
      </c>
      <c r="M43" s="560">
        <f t="shared" si="2"/>
        <v>0</v>
      </c>
      <c r="N43" s="522">
        <f t="shared" si="18"/>
        <v>2837709.02</v>
      </c>
      <c r="O43" s="661">
        <f t="shared" si="5"/>
        <v>458.22787790317449</v>
      </c>
    </row>
    <row r="44" spans="1:15" ht="15.6" hidden="1" customHeight="1" outlineLevel="1" x14ac:dyDescent="0.25">
      <c r="A44" s="503">
        <v>1997</v>
      </c>
      <c r="B44" s="504" t="s">
        <v>21</v>
      </c>
      <c r="C44" s="505">
        <v>4200</v>
      </c>
      <c r="D44" s="505">
        <v>5825</v>
      </c>
      <c r="E44" s="511">
        <v>854</v>
      </c>
      <c r="F44" s="534">
        <f t="shared" si="12"/>
        <v>1</v>
      </c>
      <c r="G44" s="512">
        <v>0</v>
      </c>
      <c r="H44" s="534">
        <f t="shared" si="13"/>
        <v>0</v>
      </c>
      <c r="I44" s="518">
        <f t="shared" si="16"/>
        <v>854</v>
      </c>
      <c r="J44" s="527">
        <v>464260.33</v>
      </c>
      <c r="K44" s="534">
        <f t="shared" si="1"/>
        <v>1</v>
      </c>
      <c r="L44" s="528">
        <v>0</v>
      </c>
      <c r="M44" s="560">
        <f t="shared" si="2"/>
        <v>0</v>
      </c>
      <c r="N44" s="522">
        <f t="shared" si="18"/>
        <v>464260.33</v>
      </c>
      <c r="O44" s="661">
        <f t="shared" si="5"/>
        <v>543.63036299765815</v>
      </c>
    </row>
    <row r="45" spans="1:15" ht="15.6" hidden="1" customHeight="1" outlineLevel="1" x14ac:dyDescent="0.25">
      <c r="A45" s="503">
        <v>1997</v>
      </c>
      <c r="B45" s="504" t="s">
        <v>22</v>
      </c>
      <c r="C45" s="505">
        <v>47800</v>
      </c>
      <c r="D45" s="505">
        <v>65152</v>
      </c>
      <c r="E45" s="511">
        <v>51497.34</v>
      </c>
      <c r="F45" s="534">
        <f t="shared" si="12"/>
        <v>0.95944219062213254</v>
      </c>
      <c r="G45" s="512">
        <v>2176.91</v>
      </c>
      <c r="H45" s="534">
        <f t="shared" si="13"/>
        <v>4.0557809377867411E-2</v>
      </c>
      <c r="I45" s="518">
        <f t="shared" si="16"/>
        <v>53674.25</v>
      </c>
      <c r="J45" s="527">
        <v>24134347.300000001</v>
      </c>
      <c r="K45" s="534">
        <f t="shared" si="1"/>
        <v>0.95995326705767203</v>
      </c>
      <c r="L45" s="528">
        <v>1006821.68</v>
      </c>
      <c r="M45" s="560">
        <f t="shared" si="2"/>
        <v>4.0046732942327967E-2</v>
      </c>
      <c r="N45" s="522">
        <f t="shared" si="18"/>
        <v>25141168.98</v>
      </c>
      <c r="O45" s="661">
        <f t="shared" si="5"/>
        <v>468.40279985281586</v>
      </c>
    </row>
    <row r="46" spans="1:15" ht="15.6" hidden="1" customHeight="1" outlineLevel="1" x14ac:dyDescent="0.25">
      <c r="A46" s="503">
        <v>1997</v>
      </c>
      <c r="B46" s="504" t="s">
        <v>23</v>
      </c>
      <c r="C46" s="505">
        <v>32800</v>
      </c>
      <c r="D46" s="505">
        <v>17364</v>
      </c>
      <c r="E46" s="511">
        <v>39543.19</v>
      </c>
      <c r="F46" s="534">
        <f t="shared" si="12"/>
        <v>1</v>
      </c>
      <c r="G46" s="512">
        <v>0</v>
      </c>
      <c r="H46" s="534">
        <f t="shared" si="13"/>
        <v>0</v>
      </c>
      <c r="I46" s="518">
        <f t="shared" si="16"/>
        <v>39543.19</v>
      </c>
      <c r="J46" s="527">
        <v>21221094.609999999</v>
      </c>
      <c r="K46" s="534">
        <f t="shared" si="1"/>
        <v>1</v>
      </c>
      <c r="L46" s="528">
        <v>0</v>
      </c>
      <c r="M46" s="560">
        <f t="shared" si="2"/>
        <v>0</v>
      </c>
      <c r="N46" s="522">
        <f t="shared" si="18"/>
        <v>21221094.609999999</v>
      </c>
      <c r="O46" s="661">
        <f t="shared" si="5"/>
        <v>536.65611221552933</v>
      </c>
    </row>
    <row r="47" spans="1:15" ht="15.6" hidden="1" customHeight="1" outlineLevel="1" x14ac:dyDescent="0.25">
      <c r="A47" s="503">
        <v>1997</v>
      </c>
      <c r="B47" s="504" t="s">
        <v>24</v>
      </c>
      <c r="C47" s="505">
        <v>25100</v>
      </c>
      <c r="D47" s="505">
        <v>38599</v>
      </c>
      <c r="E47" s="511">
        <v>23470.25</v>
      </c>
      <c r="F47" s="534">
        <f t="shared" si="12"/>
        <v>0.98240932588267305</v>
      </c>
      <c r="G47" s="512">
        <v>420.25</v>
      </c>
      <c r="H47" s="534">
        <f t="shared" si="13"/>
        <v>1.7590674117326972E-2</v>
      </c>
      <c r="I47" s="518">
        <f t="shared" si="16"/>
        <v>23890.5</v>
      </c>
      <c r="J47" s="527">
        <v>7411803.3700000001</v>
      </c>
      <c r="K47" s="534">
        <f t="shared" si="1"/>
        <v>0.99048953410864315</v>
      </c>
      <c r="L47" s="528">
        <v>71166.53</v>
      </c>
      <c r="M47" s="560">
        <f t="shared" si="2"/>
        <v>9.5104658913568521E-3</v>
      </c>
      <c r="N47" s="522">
        <f t="shared" si="18"/>
        <v>7482969.9000000004</v>
      </c>
      <c r="O47" s="661">
        <f t="shared" si="5"/>
        <v>313.21947636089658</v>
      </c>
    </row>
    <row r="48" spans="1:15" ht="15.6" hidden="1" customHeight="1" outlineLevel="1" x14ac:dyDescent="0.25">
      <c r="A48" s="503">
        <v>1997</v>
      </c>
      <c r="B48" s="504" t="s">
        <v>25</v>
      </c>
      <c r="C48" s="505">
        <v>25800</v>
      </c>
      <c r="D48" s="505">
        <v>28966</v>
      </c>
      <c r="E48" s="511">
        <v>18.059999999999999</v>
      </c>
      <c r="F48" s="534">
        <f t="shared" si="12"/>
        <v>8.6057371581054029E-4</v>
      </c>
      <c r="G48" s="512">
        <v>20967.939999999999</v>
      </c>
      <c r="H48" s="534">
        <f t="shared" si="13"/>
        <v>0.99913942628418939</v>
      </c>
      <c r="I48" s="518">
        <f t="shared" si="16"/>
        <v>20986</v>
      </c>
      <c r="J48" s="527">
        <v>7853.68</v>
      </c>
      <c r="K48" s="534">
        <f t="shared" si="1"/>
        <v>5.3918282021647181E-4</v>
      </c>
      <c r="L48" s="528">
        <v>14558040.68</v>
      </c>
      <c r="M48" s="560">
        <f t="shared" si="2"/>
        <v>0.99946081717978352</v>
      </c>
      <c r="N48" s="522">
        <f t="shared" si="18"/>
        <v>14565894.359999999</v>
      </c>
      <c r="O48" s="661">
        <f t="shared" si="5"/>
        <v>694.07673496616792</v>
      </c>
    </row>
    <row r="49" spans="1:15" ht="15.6" hidden="1" customHeight="1" outlineLevel="1" x14ac:dyDescent="0.25">
      <c r="A49" s="503">
        <v>1997</v>
      </c>
      <c r="B49" s="504" t="s">
        <v>26</v>
      </c>
      <c r="C49" s="505">
        <v>4501</v>
      </c>
      <c r="D49" s="505">
        <v>1821</v>
      </c>
      <c r="E49" s="511">
        <v>119.01</v>
      </c>
      <c r="F49" s="534">
        <f t="shared" si="12"/>
        <v>1</v>
      </c>
      <c r="G49" s="512">
        <v>0</v>
      </c>
      <c r="H49" s="534">
        <f t="shared" si="13"/>
        <v>0</v>
      </c>
      <c r="I49" s="518">
        <f t="shared" si="16"/>
        <v>119.01</v>
      </c>
      <c r="J49" s="527">
        <v>46584.08</v>
      </c>
      <c r="K49" s="534">
        <f t="shared" si="1"/>
        <v>1</v>
      </c>
      <c r="L49" s="528">
        <v>0</v>
      </c>
      <c r="M49" s="560">
        <f t="shared" si="2"/>
        <v>0</v>
      </c>
      <c r="N49" s="522">
        <f t="shared" si="18"/>
        <v>46584.08</v>
      </c>
      <c r="O49" s="661">
        <f t="shared" si="5"/>
        <v>391.42996386858249</v>
      </c>
    </row>
    <row r="50" spans="1:15" ht="15.6" hidden="1" customHeight="1" outlineLevel="1" thickBot="1" x14ac:dyDescent="0.3">
      <c r="A50" s="506">
        <v>1997</v>
      </c>
      <c r="B50" s="507" t="s">
        <v>27</v>
      </c>
      <c r="C50" s="508">
        <v>2300</v>
      </c>
      <c r="D50" s="508">
        <v>5787</v>
      </c>
      <c r="E50" s="513">
        <v>214.45</v>
      </c>
      <c r="F50" s="535">
        <f t="shared" si="12"/>
        <v>0.23412850046399911</v>
      </c>
      <c r="G50" s="514">
        <v>701.5</v>
      </c>
      <c r="H50" s="535">
        <f t="shared" si="13"/>
        <v>0.76587149953600087</v>
      </c>
      <c r="I50" s="519">
        <f t="shared" si="16"/>
        <v>915.95</v>
      </c>
      <c r="J50" s="529">
        <v>91394.4</v>
      </c>
      <c r="K50" s="535">
        <f t="shared" si="1"/>
        <v>0.33481039924739975</v>
      </c>
      <c r="L50" s="530">
        <v>181579.2</v>
      </c>
      <c r="M50" s="561">
        <f t="shared" si="2"/>
        <v>0.66518960075260036</v>
      </c>
      <c r="N50" s="523">
        <f t="shared" si="18"/>
        <v>272973.59999999998</v>
      </c>
      <c r="O50" s="662">
        <f t="shared" si="5"/>
        <v>298.02238113434134</v>
      </c>
    </row>
    <row r="51" spans="1:15" s="4" customFormat="1" ht="14.4" collapsed="1" thickTop="1" thickBot="1" x14ac:dyDescent="0.3">
      <c r="A51" s="564">
        <f>+A50</f>
        <v>1997</v>
      </c>
      <c r="B51" s="565" t="s">
        <v>28</v>
      </c>
      <c r="C51" s="566">
        <f>SUM(C42:C50)</f>
        <v>180801</v>
      </c>
      <c r="D51" s="566">
        <f>SUM(D42:D50)</f>
        <v>218418</v>
      </c>
      <c r="E51" s="515">
        <f t="shared" ref="E51:N51" si="19">SUM(E42:E50)</f>
        <v>137815.36000000002</v>
      </c>
      <c r="F51" s="533">
        <f t="shared" si="12"/>
        <v>0.84657548013232631</v>
      </c>
      <c r="G51" s="516">
        <f t="shared" si="19"/>
        <v>24976.219999999998</v>
      </c>
      <c r="H51" s="558">
        <f t="shared" si="13"/>
        <v>0.15342451986767372</v>
      </c>
      <c r="I51" s="520">
        <f t="shared" si="19"/>
        <v>162791.58000000002</v>
      </c>
      <c r="J51" s="531">
        <f t="shared" si="19"/>
        <v>66121442.609999992</v>
      </c>
      <c r="K51" s="533">
        <f t="shared" si="1"/>
        <v>0.8033454643218535</v>
      </c>
      <c r="L51" s="532">
        <f t="shared" si="19"/>
        <v>16186164.199999999</v>
      </c>
      <c r="M51" s="562">
        <f t="shared" si="2"/>
        <v>0.19665453567814653</v>
      </c>
      <c r="N51" s="524">
        <f t="shared" si="19"/>
        <v>82307606.809999987</v>
      </c>
      <c r="O51" s="663">
        <f t="shared" si="5"/>
        <v>505.60113004616073</v>
      </c>
    </row>
    <row r="52" spans="1:15" ht="15.6" hidden="1" customHeight="1" outlineLevel="1" thickTop="1" x14ac:dyDescent="0.25">
      <c r="A52" s="500">
        <v>1998</v>
      </c>
      <c r="B52" s="501" t="s">
        <v>20</v>
      </c>
      <c r="C52" s="502">
        <v>14400</v>
      </c>
      <c r="D52" s="502">
        <v>8243</v>
      </c>
      <c r="E52" s="509">
        <v>13598.34</v>
      </c>
      <c r="F52" s="541">
        <f>IF(E52=0,0,+E52/$I52)</f>
        <v>0.96561219830698997</v>
      </c>
      <c r="G52" s="510">
        <v>484.27</v>
      </c>
      <c r="H52" s="541">
        <f>IF(G52=0,0,+G52/$I52)</f>
        <v>3.4387801693010027E-2</v>
      </c>
      <c r="I52" s="517">
        <f t="shared" si="16"/>
        <v>14082.61</v>
      </c>
      <c r="J52" s="525">
        <v>6523091.25</v>
      </c>
      <c r="K52" s="541">
        <f t="shared" si="1"/>
        <v>0.95674539482333909</v>
      </c>
      <c r="L52" s="526">
        <v>294909.95</v>
      </c>
      <c r="M52" s="559">
        <f t="shared" si="2"/>
        <v>4.3254605176660868E-2</v>
      </c>
      <c r="N52" s="521">
        <f t="shared" ref="N52:N60" si="20">J52+L52</f>
        <v>6818001.2000000002</v>
      </c>
      <c r="O52" s="664">
        <f t="shared" si="5"/>
        <v>484.14329446033088</v>
      </c>
    </row>
    <row r="53" spans="1:15" ht="15.6" hidden="1" customHeight="1" outlineLevel="1" x14ac:dyDescent="0.25">
      <c r="A53" s="503">
        <v>1998</v>
      </c>
      <c r="B53" s="504" t="s">
        <v>41</v>
      </c>
      <c r="C53" s="505">
        <v>25150</v>
      </c>
      <c r="D53" s="505">
        <v>4307</v>
      </c>
      <c r="E53" s="511">
        <v>15520.96</v>
      </c>
      <c r="F53" s="534">
        <f t="shared" si="12"/>
        <v>1</v>
      </c>
      <c r="G53" s="512">
        <v>0</v>
      </c>
      <c r="H53" s="534">
        <f t="shared" si="13"/>
        <v>0</v>
      </c>
      <c r="I53" s="518">
        <f t="shared" si="16"/>
        <v>15520.96</v>
      </c>
      <c r="J53" s="527">
        <v>8724230.1899999995</v>
      </c>
      <c r="K53" s="534">
        <f t="shared" si="1"/>
        <v>1</v>
      </c>
      <c r="L53" s="528">
        <v>0</v>
      </c>
      <c r="M53" s="560">
        <f t="shared" si="2"/>
        <v>0</v>
      </c>
      <c r="N53" s="522">
        <f t="shared" si="20"/>
        <v>8724230.1899999995</v>
      </c>
      <c r="O53" s="661">
        <f t="shared" si="5"/>
        <v>562.09346522380054</v>
      </c>
    </row>
    <row r="54" spans="1:15" ht="15.6" hidden="1" customHeight="1" outlineLevel="1" x14ac:dyDescent="0.25">
      <c r="A54" s="503">
        <v>1998</v>
      </c>
      <c r="B54" s="504" t="s">
        <v>21</v>
      </c>
      <c r="C54" s="505"/>
      <c r="D54" s="505"/>
      <c r="E54" s="511">
        <v>2162.12</v>
      </c>
      <c r="F54" s="534">
        <f t="shared" si="12"/>
        <v>1</v>
      </c>
      <c r="G54" s="512">
        <v>0</v>
      </c>
      <c r="H54" s="534">
        <f t="shared" si="13"/>
        <v>0</v>
      </c>
      <c r="I54" s="518">
        <f t="shared" si="16"/>
        <v>2162.12</v>
      </c>
      <c r="J54" s="527">
        <v>1121912.77</v>
      </c>
      <c r="K54" s="534">
        <f t="shared" si="1"/>
        <v>1</v>
      </c>
      <c r="L54" s="528">
        <v>0</v>
      </c>
      <c r="M54" s="560">
        <f t="shared" si="2"/>
        <v>0</v>
      </c>
      <c r="N54" s="522">
        <f t="shared" si="20"/>
        <v>1121912.77</v>
      </c>
      <c r="O54" s="661">
        <f t="shared" si="5"/>
        <v>518.8947745731042</v>
      </c>
    </row>
    <row r="55" spans="1:15" ht="15.6" hidden="1" customHeight="1" outlineLevel="1" x14ac:dyDescent="0.25">
      <c r="A55" s="503">
        <v>1998</v>
      </c>
      <c r="B55" s="504" t="s">
        <v>22</v>
      </c>
      <c r="C55" s="505">
        <v>49985</v>
      </c>
      <c r="D55" s="505">
        <v>32420</v>
      </c>
      <c r="E55" s="511">
        <v>26467.41</v>
      </c>
      <c r="F55" s="534">
        <f t="shared" si="12"/>
        <v>0.98771080938264078</v>
      </c>
      <c r="G55" s="512">
        <v>329.31</v>
      </c>
      <c r="H55" s="534">
        <f t="shared" si="13"/>
        <v>1.228919061735914E-2</v>
      </c>
      <c r="I55" s="518">
        <f t="shared" si="16"/>
        <v>26796.720000000001</v>
      </c>
      <c r="J55" s="527">
        <v>11495832.74</v>
      </c>
      <c r="K55" s="534">
        <f t="shared" si="1"/>
        <v>0.98205439480929746</v>
      </c>
      <c r="L55" s="528">
        <v>210069.5</v>
      </c>
      <c r="M55" s="560">
        <f t="shared" si="2"/>
        <v>1.7945605190702499E-2</v>
      </c>
      <c r="N55" s="522">
        <f t="shared" si="20"/>
        <v>11705902.24</v>
      </c>
      <c r="O55" s="661">
        <f t="shared" si="5"/>
        <v>436.84086112031622</v>
      </c>
    </row>
    <row r="56" spans="1:15" ht="15.6" hidden="1" customHeight="1" outlineLevel="1" x14ac:dyDescent="0.25">
      <c r="A56" s="503">
        <v>1998</v>
      </c>
      <c r="B56" s="504" t="s">
        <v>23</v>
      </c>
      <c r="C56" s="505">
        <v>31800</v>
      </c>
      <c r="D56" s="505">
        <v>21612</v>
      </c>
      <c r="E56" s="511">
        <v>17787.77</v>
      </c>
      <c r="F56" s="534">
        <f t="shared" si="12"/>
        <v>1</v>
      </c>
      <c r="G56" s="512">
        <v>0</v>
      </c>
      <c r="H56" s="534">
        <f t="shared" si="13"/>
        <v>0</v>
      </c>
      <c r="I56" s="518">
        <f t="shared" si="16"/>
        <v>17787.77</v>
      </c>
      <c r="J56" s="527">
        <v>8449381.3699999992</v>
      </c>
      <c r="K56" s="534">
        <f t="shared" si="1"/>
        <v>1</v>
      </c>
      <c r="L56" s="528">
        <v>0</v>
      </c>
      <c r="M56" s="560">
        <f t="shared" si="2"/>
        <v>0</v>
      </c>
      <c r="N56" s="522">
        <f t="shared" si="20"/>
        <v>8449381.3699999992</v>
      </c>
      <c r="O56" s="661">
        <f t="shared" si="5"/>
        <v>475.01071635174048</v>
      </c>
    </row>
    <row r="57" spans="1:15" ht="15.6" hidden="1" customHeight="1" outlineLevel="1" x14ac:dyDescent="0.25">
      <c r="A57" s="503">
        <v>1998</v>
      </c>
      <c r="B57" s="504" t="s">
        <v>24</v>
      </c>
      <c r="C57" s="505">
        <v>29200</v>
      </c>
      <c r="D57" s="505">
        <v>30053</v>
      </c>
      <c r="E57" s="511">
        <v>27023.29</v>
      </c>
      <c r="F57" s="534">
        <f t="shared" si="12"/>
        <v>0.99845852634083632</v>
      </c>
      <c r="G57" s="512">
        <v>41.72</v>
      </c>
      <c r="H57" s="534">
        <f t="shared" si="13"/>
        <v>1.5414736591636211E-3</v>
      </c>
      <c r="I57" s="518">
        <f t="shared" si="16"/>
        <v>27065.010000000002</v>
      </c>
      <c r="J57" s="527">
        <v>8028622.71</v>
      </c>
      <c r="K57" s="534">
        <f t="shared" si="1"/>
        <v>0.99887760271008963</v>
      </c>
      <c r="L57" s="528">
        <v>9021.43</v>
      </c>
      <c r="M57" s="560">
        <f t="shared" si="2"/>
        <v>1.1223972899103742E-3</v>
      </c>
      <c r="N57" s="522">
        <f t="shared" si="20"/>
        <v>8037644.1399999997</v>
      </c>
      <c r="O57" s="661">
        <f t="shared" si="5"/>
        <v>296.97547275984743</v>
      </c>
    </row>
    <row r="58" spans="1:15" ht="15.6" hidden="1" customHeight="1" outlineLevel="1" x14ac:dyDescent="0.25">
      <c r="A58" s="503">
        <v>1998</v>
      </c>
      <c r="B58" s="504" t="s">
        <v>25</v>
      </c>
      <c r="C58" s="505">
        <v>20000</v>
      </c>
      <c r="D58" s="505">
        <v>4257</v>
      </c>
      <c r="E58" s="511">
        <v>3.18</v>
      </c>
      <c r="F58" s="534">
        <f t="shared" si="12"/>
        <v>1.4997707897472273E-4</v>
      </c>
      <c r="G58" s="512">
        <v>21200.06</v>
      </c>
      <c r="H58" s="534">
        <f t="shared" si="13"/>
        <v>0.99985002292102532</v>
      </c>
      <c r="I58" s="518">
        <f t="shared" si="16"/>
        <v>21203.24</v>
      </c>
      <c r="J58" s="527">
        <v>1259.57</v>
      </c>
      <c r="K58" s="534">
        <f t="shared" si="1"/>
        <v>9.5817129775174095E-5</v>
      </c>
      <c r="L58" s="528">
        <v>13144302.220000001</v>
      </c>
      <c r="M58" s="560">
        <f t="shared" si="2"/>
        <v>0.99990418287022476</v>
      </c>
      <c r="N58" s="522">
        <f t="shared" si="20"/>
        <v>13145561.790000001</v>
      </c>
      <c r="O58" s="661">
        <f t="shared" si="5"/>
        <v>619.97891784463127</v>
      </c>
    </row>
    <row r="59" spans="1:15" ht="15.6" hidden="1" customHeight="1" outlineLevel="1" x14ac:dyDescent="0.25">
      <c r="A59" s="503">
        <v>1998</v>
      </c>
      <c r="B59" s="504" t="s">
        <v>26</v>
      </c>
      <c r="C59" s="505">
        <v>830</v>
      </c>
      <c r="D59" s="505">
        <v>3244</v>
      </c>
      <c r="E59" s="511">
        <v>1128.6300000000001</v>
      </c>
      <c r="F59" s="534">
        <f t="shared" si="12"/>
        <v>1</v>
      </c>
      <c r="G59" s="512">
        <v>0</v>
      </c>
      <c r="H59" s="534">
        <f t="shared" si="13"/>
        <v>0</v>
      </c>
      <c r="I59" s="518">
        <f t="shared" si="16"/>
        <v>1128.6300000000001</v>
      </c>
      <c r="J59" s="527">
        <v>265126.33</v>
      </c>
      <c r="K59" s="534">
        <f t="shared" si="1"/>
        <v>1</v>
      </c>
      <c r="L59" s="528">
        <v>0</v>
      </c>
      <c r="M59" s="560">
        <f t="shared" si="2"/>
        <v>0</v>
      </c>
      <c r="N59" s="522">
        <f t="shared" si="20"/>
        <v>265126.33</v>
      </c>
      <c r="O59" s="661">
        <f t="shared" si="5"/>
        <v>234.90987303190593</v>
      </c>
    </row>
    <row r="60" spans="1:15" ht="15.6" hidden="1" customHeight="1" outlineLevel="1" thickBot="1" x14ac:dyDescent="0.3">
      <c r="A60" s="506">
        <v>1998</v>
      </c>
      <c r="B60" s="507" t="s">
        <v>27</v>
      </c>
      <c r="C60" s="508">
        <v>5600</v>
      </c>
      <c r="D60" s="508">
        <v>1812</v>
      </c>
      <c r="E60" s="513">
        <v>1721.96</v>
      </c>
      <c r="F60" s="535">
        <f t="shared" si="12"/>
        <v>1</v>
      </c>
      <c r="G60" s="514">
        <v>0</v>
      </c>
      <c r="H60" s="535">
        <f t="shared" si="13"/>
        <v>0</v>
      </c>
      <c r="I60" s="519">
        <f t="shared" si="16"/>
        <v>1721.96</v>
      </c>
      <c r="J60" s="529">
        <v>429195.68</v>
      </c>
      <c r="K60" s="535">
        <f t="shared" si="1"/>
        <v>1</v>
      </c>
      <c r="L60" s="530">
        <v>0</v>
      </c>
      <c r="M60" s="561">
        <f t="shared" si="2"/>
        <v>0</v>
      </c>
      <c r="N60" s="523">
        <f t="shared" si="20"/>
        <v>429195.68</v>
      </c>
      <c r="O60" s="662">
        <f t="shared" si="5"/>
        <v>249.24834490928941</v>
      </c>
    </row>
    <row r="61" spans="1:15" s="4" customFormat="1" ht="14.4" collapsed="1" thickTop="1" thickBot="1" x14ac:dyDescent="0.3">
      <c r="A61" s="564">
        <f>+A60</f>
        <v>1998</v>
      </c>
      <c r="B61" s="565" t="s">
        <v>28</v>
      </c>
      <c r="C61" s="566">
        <f>SUM(C52:C60)</f>
        <v>176965</v>
      </c>
      <c r="D61" s="566">
        <f>SUM(D52:D60)</f>
        <v>105948</v>
      </c>
      <c r="E61" s="515">
        <f t="shared" ref="E61:N61" si="21">SUM(E52:E60)</f>
        <v>105413.66000000002</v>
      </c>
      <c r="F61" s="533">
        <f t="shared" si="12"/>
        <v>0.82697474256882186</v>
      </c>
      <c r="G61" s="516">
        <f t="shared" si="21"/>
        <v>22055.360000000001</v>
      </c>
      <c r="H61" s="558">
        <f t="shared" si="13"/>
        <v>0.17302525743117816</v>
      </c>
      <c r="I61" s="520">
        <f t="shared" si="21"/>
        <v>127469.02000000002</v>
      </c>
      <c r="J61" s="531">
        <f t="shared" si="21"/>
        <v>45038652.609999999</v>
      </c>
      <c r="K61" s="533">
        <f t="shared" si="1"/>
        <v>0.76730815193413726</v>
      </c>
      <c r="L61" s="532">
        <f t="shared" si="21"/>
        <v>13658303.100000001</v>
      </c>
      <c r="M61" s="562">
        <f t="shared" si="2"/>
        <v>0.23269184806586288</v>
      </c>
      <c r="N61" s="524">
        <f t="shared" si="21"/>
        <v>58696955.709999993</v>
      </c>
      <c r="O61" s="663">
        <f t="shared" si="5"/>
        <v>460.48016773016678</v>
      </c>
    </row>
    <row r="62" spans="1:15" ht="15.6" hidden="1" customHeight="1" outlineLevel="1" thickTop="1" x14ac:dyDescent="0.25">
      <c r="A62" s="500">
        <v>1999</v>
      </c>
      <c r="B62" s="501" t="s">
        <v>20</v>
      </c>
      <c r="C62" s="502">
        <v>11200</v>
      </c>
      <c r="D62" s="502">
        <v>13391</v>
      </c>
      <c r="E62" s="509">
        <v>23015.39</v>
      </c>
      <c r="F62" s="541">
        <f>IF(E62=0,0,+E62/$I62)</f>
        <v>0.82063705886379978</v>
      </c>
      <c r="G62" s="510">
        <v>5030.37</v>
      </c>
      <c r="H62" s="541">
        <f>IF(G62=0,0,+G62/$I62)</f>
        <v>0.17936294113620027</v>
      </c>
      <c r="I62" s="517">
        <f t="shared" si="16"/>
        <v>28045.759999999998</v>
      </c>
      <c r="J62" s="525">
        <v>11353756.33</v>
      </c>
      <c r="K62" s="541">
        <f t="shared" si="1"/>
        <v>0.85309630529337466</v>
      </c>
      <c r="L62" s="526">
        <v>1955123.64</v>
      </c>
      <c r="M62" s="559">
        <f t="shared" si="2"/>
        <v>0.14690369470662526</v>
      </c>
      <c r="N62" s="521">
        <f t="shared" ref="N62:N70" si="22">J62+L62</f>
        <v>13308879.970000001</v>
      </c>
      <c r="O62" s="664">
        <f t="shared" si="5"/>
        <v>474.54160521946994</v>
      </c>
    </row>
    <row r="63" spans="1:15" ht="15.6" hidden="1" customHeight="1" outlineLevel="1" x14ac:dyDescent="0.25">
      <c r="A63" s="503">
        <v>1999</v>
      </c>
      <c r="B63" s="504" t="s">
        <v>41</v>
      </c>
      <c r="C63" s="505">
        <v>11700</v>
      </c>
      <c r="D63" s="505">
        <v>28275</v>
      </c>
      <c r="E63" s="511">
        <v>29693.78</v>
      </c>
      <c r="F63" s="534">
        <f t="shared" si="12"/>
        <v>1</v>
      </c>
      <c r="G63" s="512">
        <v>0</v>
      </c>
      <c r="H63" s="534">
        <f t="shared" si="13"/>
        <v>0</v>
      </c>
      <c r="I63" s="518">
        <f t="shared" si="16"/>
        <v>29693.78</v>
      </c>
      <c r="J63" s="527">
        <v>12030611.66</v>
      </c>
      <c r="K63" s="534">
        <f t="shared" si="1"/>
        <v>1</v>
      </c>
      <c r="L63" s="528">
        <v>0</v>
      </c>
      <c r="M63" s="560">
        <f t="shared" si="2"/>
        <v>0</v>
      </c>
      <c r="N63" s="522">
        <f t="shared" si="22"/>
        <v>12030611.66</v>
      </c>
      <c r="O63" s="661">
        <f t="shared" si="5"/>
        <v>405.15595050545943</v>
      </c>
    </row>
    <row r="64" spans="1:15" ht="15.6" hidden="1" customHeight="1" outlineLevel="1" x14ac:dyDescent="0.25">
      <c r="A64" s="503">
        <v>1999</v>
      </c>
      <c r="B64" s="504" t="s">
        <v>21</v>
      </c>
      <c r="C64" s="505">
        <v>13460</v>
      </c>
      <c r="D64" s="505">
        <v>9245</v>
      </c>
      <c r="E64" s="511">
        <v>8836.44</v>
      </c>
      <c r="F64" s="534">
        <f t="shared" si="12"/>
        <v>1</v>
      </c>
      <c r="G64" s="512">
        <v>0</v>
      </c>
      <c r="H64" s="534">
        <f t="shared" si="13"/>
        <v>0</v>
      </c>
      <c r="I64" s="518">
        <f t="shared" si="16"/>
        <v>8836.44</v>
      </c>
      <c r="J64" s="527">
        <v>3818030.66</v>
      </c>
      <c r="K64" s="534">
        <f t="shared" si="1"/>
        <v>1</v>
      </c>
      <c r="L64" s="528">
        <v>0</v>
      </c>
      <c r="M64" s="560">
        <f t="shared" si="2"/>
        <v>0</v>
      </c>
      <c r="N64" s="522">
        <f t="shared" si="22"/>
        <v>3818030.66</v>
      </c>
      <c r="O64" s="661">
        <f t="shared" si="5"/>
        <v>432.07792504673824</v>
      </c>
    </row>
    <row r="65" spans="1:15" ht="15.6" hidden="1" customHeight="1" outlineLevel="1" x14ac:dyDescent="0.25">
      <c r="A65" s="503">
        <v>1999</v>
      </c>
      <c r="B65" s="504" t="s">
        <v>22</v>
      </c>
      <c r="C65" s="505">
        <v>53380</v>
      </c>
      <c r="D65" s="505">
        <v>76224</v>
      </c>
      <c r="E65" s="511">
        <v>37705.82</v>
      </c>
      <c r="F65" s="534">
        <f t="shared" si="12"/>
        <v>0.99704871536749062</v>
      </c>
      <c r="G65" s="512">
        <v>111.61</v>
      </c>
      <c r="H65" s="534">
        <f t="shared" si="13"/>
        <v>2.951284632509401E-3</v>
      </c>
      <c r="I65" s="518">
        <f t="shared" si="16"/>
        <v>37817.43</v>
      </c>
      <c r="J65" s="527">
        <v>13426715.6</v>
      </c>
      <c r="K65" s="534">
        <f t="shared" si="1"/>
        <v>0.99464917266100683</v>
      </c>
      <c r="L65" s="528">
        <v>72230.53</v>
      </c>
      <c r="M65" s="560">
        <f t="shared" si="2"/>
        <v>5.3508273389931667E-3</v>
      </c>
      <c r="N65" s="522">
        <f t="shared" si="22"/>
        <v>13498946.129999999</v>
      </c>
      <c r="O65" s="661">
        <f t="shared" si="5"/>
        <v>356.95038319631976</v>
      </c>
    </row>
    <row r="66" spans="1:15" ht="15.6" hidden="1" customHeight="1" outlineLevel="1" x14ac:dyDescent="0.25">
      <c r="A66" s="503">
        <v>1999</v>
      </c>
      <c r="B66" s="504" t="s">
        <v>23</v>
      </c>
      <c r="C66" s="505">
        <v>24200</v>
      </c>
      <c r="D66" s="505">
        <v>21823</v>
      </c>
      <c r="E66" s="511">
        <v>27522.52</v>
      </c>
      <c r="F66" s="534">
        <f t="shared" si="12"/>
        <v>0.99978131786139035</v>
      </c>
      <c r="G66" s="512">
        <v>6.02</v>
      </c>
      <c r="H66" s="534">
        <f t="shared" si="13"/>
        <v>2.1868213860960295E-4</v>
      </c>
      <c r="I66" s="518">
        <f t="shared" ref="I66:I97" si="23">E66+G66</f>
        <v>27528.54</v>
      </c>
      <c r="J66" s="527">
        <v>11128558.960000001</v>
      </c>
      <c r="K66" s="534">
        <f t="shared" ref="K66:K129" si="24">IF(J66=0,0,+J66/$N66)</f>
        <v>0.99979680653681746</v>
      </c>
      <c r="L66" s="528">
        <v>2261.71</v>
      </c>
      <c r="M66" s="560">
        <f t="shared" ref="M66:M129" si="25">IF(L66=0,0,+L66/$N66)</f>
        <v>2.0319346318244114E-4</v>
      </c>
      <c r="N66" s="522">
        <f t="shared" si="22"/>
        <v>11130820.670000002</v>
      </c>
      <c r="O66" s="661">
        <f t="shared" si="5"/>
        <v>404.33748647767015</v>
      </c>
    </row>
    <row r="67" spans="1:15" ht="15.6" hidden="1" customHeight="1" outlineLevel="1" x14ac:dyDescent="0.25">
      <c r="A67" s="503">
        <v>1999</v>
      </c>
      <c r="B67" s="504" t="s">
        <v>24</v>
      </c>
      <c r="C67" s="505">
        <v>45355</v>
      </c>
      <c r="D67" s="505">
        <v>48624</v>
      </c>
      <c r="E67" s="511">
        <v>38194.019999999997</v>
      </c>
      <c r="F67" s="534">
        <f t="shared" si="12"/>
        <v>0.9814744671326745</v>
      </c>
      <c r="G67" s="512">
        <v>720.92</v>
      </c>
      <c r="H67" s="534">
        <f t="shared" si="13"/>
        <v>1.8525532867325507E-2</v>
      </c>
      <c r="I67" s="518">
        <f t="shared" si="23"/>
        <v>38914.939999999995</v>
      </c>
      <c r="J67" s="527">
        <v>9433092.4499999993</v>
      </c>
      <c r="K67" s="534">
        <f t="shared" si="24"/>
        <v>0.96373046515246041</v>
      </c>
      <c r="L67" s="528">
        <v>355009.92</v>
      </c>
      <c r="M67" s="560">
        <f t="shared" si="25"/>
        <v>3.6269534847539607E-2</v>
      </c>
      <c r="N67" s="522">
        <f t="shared" si="22"/>
        <v>9788102.3699999992</v>
      </c>
      <c r="O67" s="661">
        <f t="shared" ref="O67:O130" si="26">+IF(I67=0,0,N67/I67)</f>
        <v>251.52556755837219</v>
      </c>
    </row>
    <row r="68" spans="1:15" ht="15.6" hidden="1" customHeight="1" outlineLevel="1" x14ac:dyDescent="0.25">
      <c r="A68" s="503">
        <v>1999</v>
      </c>
      <c r="B68" s="504" t="s">
        <v>25</v>
      </c>
      <c r="C68" s="505">
        <v>34900</v>
      </c>
      <c r="D68" s="505">
        <v>44558</v>
      </c>
      <c r="E68" s="511">
        <v>0</v>
      </c>
      <c r="F68" s="534">
        <f t="shared" si="12"/>
        <v>0</v>
      </c>
      <c r="G68" s="512">
        <v>32002.69</v>
      </c>
      <c r="H68" s="534">
        <f t="shared" si="13"/>
        <v>1</v>
      </c>
      <c r="I68" s="518">
        <f t="shared" si="23"/>
        <v>32002.69</v>
      </c>
      <c r="J68" s="527">
        <v>0</v>
      </c>
      <c r="K68" s="534">
        <f t="shared" si="24"/>
        <v>0</v>
      </c>
      <c r="L68" s="528">
        <v>17659545.359999999</v>
      </c>
      <c r="M68" s="560">
        <f t="shared" si="25"/>
        <v>1</v>
      </c>
      <c r="N68" s="522">
        <f t="shared" si="22"/>
        <v>17659545.359999999</v>
      </c>
      <c r="O68" s="661">
        <f t="shared" si="26"/>
        <v>551.81440560152907</v>
      </c>
    </row>
    <row r="69" spans="1:15" ht="15.6" hidden="1" customHeight="1" outlineLevel="1" x14ac:dyDescent="0.25">
      <c r="A69" s="503">
        <v>1999</v>
      </c>
      <c r="B69" s="504" t="s">
        <v>26</v>
      </c>
      <c r="C69" s="505">
        <v>1630</v>
      </c>
      <c r="D69" s="505">
        <v>1745</v>
      </c>
      <c r="E69" s="511">
        <v>3697.94</v>
      </c>
      <c r="F69" s="534">
        <f t="shared" si="12"/>
        <v>0.96168039341636136</v>
      </c>
      <c r="G69" s="512">
        <v>147.35</v>
      </c>
      <c r="H69" s="534">
        <f t="shared" si="13"/>
        <v>3.8319606583638685E-2</v>
      </c>
      <c r="I69" s="518">
        <f t="shared" si="23"/>
        <v>3845.29</v>
      </c>
      <c r="J69" s="527">
        <v>1215586.19</v>
      </c>
      <c r="K69" s="534">
        <f t="shared" si="24"/>
        <v>0.96409159760992658</v>
      </c>
      <c r="L69" s="528">
        <v>45275.53</v>
      </c>
      <c r="M69" s="560">
        <f t="shared" si="25"/>
        <v>3.5908402390073355E-2</v>
      </c>
      <c r="N69" s="522">
        <f t="shared" si="22"/>
        <v>1260861.72</v>
      </c>
      <c r="O69" s="661">
        <f t="shared" si="26"/>
        <v>327.89769302185272</v>
      </c>
    </row>
    <row r="70" spans="1:15" ht="15.6" hidden="1" customHeight="1" outlineLevel="1" thickBot="1" x14ac:dyDescent="0.3">
      <c r="A70" s="506">
        <v>1999</v>
      </c>
      <c r="B70" s="507" t="s">
        <v>27</v>
      </c>
      <c r="C70" s="508">
        <v>3700</v>
      </c>
      <c r="D70" s="508">
        <v>11248</v>
      </c>
      <c r="E70" s="513">
        <v>1409.65</v>
      </c>
      <c r="F70" s="535">
        <f t="shared" si="12"/>
        <v>1</v>
      </c>
      <c r="G70" s="514">
        <v>0</v>
      </c>
      <c r="H70" s="535">
        <f t="shared" si="13"/>
        <v>0</v>
      </c>
      <c r="I70" s="519">
        <f t="shared" si="23"/>
        <v>1409.65</v>
      </c>
      <c r="J70" s="529">
        <v>352714.5</v>
      </c>
      <c r="K70" s="535">
        <f t="shared" si="24"/>
        <v>1</v>
      </c>
      <c r="L70" s="530">
        <v>0</v>
      </c>
      <c r="M70" s="561">
        <f t="shared" si="25"/>
        <v>0</v>
      </c>
      <c r="N70" s="523">
        <f t="shared" si="22"/>
        <v>352714.5</v>
      </c>
      <c r="O70" s="662">
        <f t="shared" si="26"/>
        <v>250.21423757670343</v>
      </c>
    </row>
    <row r="71" spans="1:15" s="4" customFormat="1" ht="14.4" collapsed="1" thickTop="1" thickBot="1" x14ac:dyDescent="0.3">
      <c r="A71" s="564">
        <f>+A70</f>
        <v>1999</v>
      </c>
      <c r="B71" s="565" t="s">
        <v>28</v>
      </c>
      <c r="C71" s="566">
        <f>SUM(C62:C70)</f>
        <v>199525</v>
      </c>
      <c r="D71" s="566">
        <f>SUM(D62:D70)</f>
        <v>255133</v>
      </c>
      <c r="E71" s="515">
        <f t="shared" ref="E71:N71" si="27">SUM(E62:E70)</f>
        <v>170075.56</v>
      </c>
      <c r="F71" s="533">
        <f t="shared" si="12"/>
        <v>0.81729956175684004</v>
      </c>
      <c r="G71" s="516">
        <f t="shared" si="27"/>
        <v>38018.959999999999</v>
      </c>
      <c r="H71" s="558">
        <f t="shared" si="13"/>
        <v>0.18270043824315987</v>
      </c>
      <c r="I71" s="520">
        <f t="shared" si="27"/>
        <v>208094.52000000002</v>
      </c>
      <c r="J71" s="531">
        <f t="shared" si="27"/>
        <v>62759066.349999994</v>
      </c>
      <c r="K71" s="533">
        <f t="shared" si="24"/>
        <v>0.75751590520036693</v>
      </c>
      <c r="L71" s="532">
        <f t="shared" si="27"/>
        <v>20089446.690000001</v>
      </c>
      <c r="M71" s="562">
        <f t="shared" si="25"/>
        <v>0.24248409479963315</v>
      </c>
      <c r="N71" s="524">
        <f t="shared" si="27"/>
        <v>82848513.039999992</v>
      </c>
      <c r="O71" s="663">
        <f t="shared" si="26"/>
        <v>398.12923973202169</v>
      </c>
    </row>
    <row r="72" spans="1:15" ht="15.6" hidden="1" customHeight="1" outlineLevel="1" thickTop="1" x14ac:dyDescent="0.25">
      <c r="A72" s="500">
        <v>2000</v>
      </c>
      <c r="B72" s="501" t="s">
        <v>20</v>
      </c>
      <c r="C72" s="502">
        <v>11600</v>
      </c>
      <c r="D72" s="502">
        <v>13061</v>
      </c>
      <c r="E72" s="509">
        <v>12616.03</v>
      </c>
      <c r="F72" s="541">
        <f>IF(E72=0,0,+E72/$I72)</f>
        <v>0.79915814944905983</v>
      </c>
      <c r="G72" s="510">
        <v>3170.62</v>
      </c>
      <c r="H72" s="541">
        <f>IF(G72=0,0,+G72/$I72)</f>
        <v>0.20084185055094017</v>
      </c>
      <c r="I72" s="517">
        <f t="shared" si="23"/>
        <v>15786.650000000001</v>
      </c>
      <c r="J72" s="525">
        <v>5318262.57</v>
      </c>
      <c r="K72" s="541">
        <f t="shared" si="24"/>
        <v>0.80750621352793106</v>
      </c>
      <c r="L72" s="526">
        <v>1267770.43</v>
      </c>
      <c r="M72" s="559">
        <f t="shared" si="25"/>
        <v>0.192493786472069</v>
      </c>
      <c r="N72" s="521">
        <f t="shared" ref="N72:N80" si="28">J72+L72</f>
        <v>6586033</v>
      </c>
      <c r="O72" s="664">
        <f t="shared" si="26"/>
        <v>417.19003081717779</v>
      </c>
    </row>
    <row r="73" spans="1:15" ht="15.6" hidden="1" customHeight="1" outlineLevel="1" x14ac:dyDescent="0.25">
      <c r="A73" s="503">
        <v>2000</v>
      </c>
      <c r="B73" s="504" t="s">
        <v>41</v>
      </c>
      <c r="C73" s="505">
        <v>26066</v>
      </c>
      <c r="D73" s="505">
        <v>32098</v>
      </c>
      <c r="E73" s="511">
        <v>26605.64</v>
      </c>
      <c r="F73" s="534">
        <f t="shared" si="12"/>
        <v>1</v>
      </c>
      <c r="G73" s="512">
        <v>0</v>
      </c>
      <c r="H73" s="534">
        <f t="shared" si="13"/>
        <v>0</v>
      </c>
      <c r="I73" s="518">
        <f t="shared" si="23"/>
        <v>26605.64</v>
      </c>
      <c r="J73" s="527">
        <v>10009181.75</v>
      </c>
      <c r="K73" s="534">
        <f t="shared" si="24"/>
        <v>1</v>
      </c>
      <c r="L73" s="528">
        <v>0</v>
      </c>
      <c r="M73" s="560">
        <f t="shared" si="25"/>
        <v>0</v>
      </c>
      <c r="N73" s="522">
        <f t="shared" si="28"/>
        <v>10009181.75</v>
      </c>
      <c r="O73" s="661">
        <f t="shared" si="26"/>
        <v>376.20526136563524</v>
      </c>
    </row>
    <row r="74" spans="1:15" ht="15.6" hidden="1" customHeight="1" outlineLevel="1" x14ac:dyDescent="0.25">
      <c r="A74" s="503">
        <v>2000</v>
      </c>
      <c r="B74" s="504" t="s">
        <v>21</v>
      </c>
      <c r="C74" s="505">
        <v>4000</v>
      </c>
      <c r="D74" s="505">
        <v>3702</v>
      </c>
      <c r="E74" s="511">
        <v>4324.09</v>
      </c>
      <c r="F74" s="534">
        <f t="shared" si="12"/>
        <v>0.60891869893511852</v>
      </c>
      <c r="G74" s="512">
        <v>2777.17</v>
      </c>
      <c r="H74" s="534">
        <f t="shared" si="13"/>
        <v>0.39108130106488143</v>
      </c>
      <c r="I74" s="518">
        <f t="shared" si="23"/>
        <v>7101.26</v>
      </c>
      <c r="J74" s="527">
        <v>1373183.81</v>
      </c>
      <c r="K74" s="534">
        <f t="shared" si="24"/>
        <v>0.51533369430384846</v>
      </c>
      <c r="L74" s="528">
        <v>1291465.96</v>
      </c>
      <c r="M74" s="560">
        <f t="shared" si="25"/>
        <v>0.48466630569615154</v>
      </c>
      <c r="N74" s="522">
        <f t="shared" si="28"/>
        <v>2664649.77</v>
      </c>
      <c r="O74" s="661">
        <f t="shared" si="26"/>
        <v>375.23619329527435</v>
      </c>
    </row>
    <row r="75" spans="1:15" ht="15.6" hidden="1" customHeight="1" outlineLevel="1" x14ac:dyDescent="0.25">
      <c r="A75" s="503">
        <v>2000</v>
      </c>
      <c r="B75" s="504" t="s">
        <v>22</v>
      </c>
      <c r="C75" s="505">
        <v>78200</v>
      </c>
      <c r="D75" s="505">
        <v>39366</v>
      </c>
      <c r="E75" s="511">
        <v>66832.36</v>
      </c>
      <c r="F75" s="534">
        <f t="shared" si="12"/>
        <v>0.99996513786478247</v>
      </c>
      <c r="G75" s="512">
        <v>2.33</v>
      </c>
      <c r="H75" s="534">
        <f t="shared" si="13"/>
        <v>3.4862135217504564E-5</v>
      </c>
      <c r="I75" s="518">
        <f t="shared" si="23"/>
        <v>66834.69</v>
      </c>
      <c r="J75" s="527">
        <v>23338361.84</v>
      </c>
      <c r="K75" s="534">
        <f t="shared" si="24"/>
        <v>0.99997862192140807</v>
      </c>
      <c r="L75" s="528">
        <v>498.94</v>
      </c>
      <c r="M75" s="560">
        <f t="shared" si="25"/>
        <v>2.1378078591889179E-5</v>
      </c>
      <c r="N75" s="522">
        <f t="shared" si="28"/>
        <v>23338860.780000001</v>
      </c>
      <c r="O75" s="661">
        <f t="shared" si="26"/>
        <v>349.20279842698454</v>
      </c>
    </row>
    <row r="76" spans="1:15" ht="15.6" hidden="1" customHeight="1" outlineLevel="1" x14ac:dyDescent="0.25">
      <c r="A76" s="503">
        <v>2000</v>
      </c>
      <c r="B76" s="504" t="s">
        <v>23</v>
      </c>
      <c r="C76" s="505">
        <v>50145</v>
      </c>
      <c r="D76" s="505">
        <v>54483</v>
      </c>
      <c r="E76" s="511">
        <v>51275.82</v>
      </c>
      <c r="F76" s="534">
        <f t="shared" si="12"/>
        <v>0.99903030827312467</v>
      </c>
      <c r="G76" s="512">
        <v>49.77</v>
      </c>
      <c r="H76" s="534">
        <f t="shared" si="13"/>
        <v>9.6969172687542428E-4</v>
      </c>
      <c r="I76" s="518">
        <f t="shared" si="23"/>
        <v>51325.59</v>
      </c>
      <c r="J76" s="527">
        <v>20183284.440000001</v>
      </c>
      <c r="K76" s="534">
        <f t="shared" si="24"/>
        <v>0.99915624788024793</v>
      </c>
      <c r="L76" s="528">
        <v>17044.07</v>
      </c>
      <c r="M76" s="560">
        <f t="shared" si="25"/>
        <v>8.4375211975203654E-4</v>
      </c>
      <c r="N76" s="522">
        <f t="shared" si="28"/>
        <v>20200328.510000002</v>
      </c>
      <c r="O76" s="661">
        <f t="shared" si="26"/>
        <v>393.57226112744155</v>
      </c>
    </row>
    <row r="77" spans="1:15" ht="15.6" hidden="1" customHeight="1" outlineLevel="1" x14ac:dyDescent="0.25">
      <c r="A77" s="503">
        <v>2000</v>
      </c>
      <c r="B77" s="504" t="s">
        <v>24</v>
      </c>
      <c r="C77" s="505">
        <v>41704</v>
      </c>
      <c r="D77" s="505">
        <v>51772</v>
      </c>
      <c r="E77" s="511">
        <v>45427.09</v>
      </c>
      <c r="F77" s="534">
        <f t="shared" si="12"/>
        <v>0.98579457789100666</v>
      </c>
      <c r="G77" s="512">
        <v>654.61</v>
      </c>
      <c r="H77" s="534">
        <f t="shared" si="13"/>
        <v>1.4205422108993376E-2</v>
      </c>
      <c r="I77" s="518">
        <f t="shared" si="23"/>
        <v>46081.7</v>
      </c>
      <c r="J77" s="527">
        <v>11930040.720000001</v>
      </c>
      <c r="K77" s="534">
        <f t="shared" si="24"/>
        <v>0.97267985686222536</v>
      </c>
      <c r="L77" s="528">
        <v>335084.99</v>
      </c>
      <c r="M77" s="560">
        <f t="shared" si="25"/>
        <v>2.7320143137774654E-2</v>
      </c>
      <c r="N77" s="522">
        <f t="shared" si="28"/>
        <v>12265125.710000001</v>
      </c>
      <c r="O77" s="661">
        <f t="shared" si="26"/>
        <v>266.16044351662379</v>
      </c>
    </row>
    <row r="78" spans="1:15" ht="15.6" hidden="1" customHeight="1" outlineLevel="1" x14ac:dyDescent="0.25">
      <c r="A78" s="503">
        <v>2000</v>
      </c>
      <c r="B78" s="504" t="s">
        <v>25</v>
      </c>
      <c r="C78" s="505">
        <v>28800</v>
      </c>
      <c r="D78" s="505">
        <v>30908</v>
      </c>
      <c r="E78" s="511">
        <v>713.81</v>
      </c>
      <c r="F78" s="534">
        <f t="shared" si="12"/>
        <v>1.7172838906207973E-2</v>
      </c>
      <c r="G78" s="512">
        <v>40852.410000000003</v>
      </c>
      <c r="H78" s="534">
        <f t="shared" si="13"/>
        <v>0.98282716109379209</v>
      </c>
      <c r="I78" s="518">
        <f t="shared" si="23"/>
        <v>41566.22</v>
      </c>
      <c r="J78" s="527">
        <v>160223.01</v>
      </c>
      <c r="K78" s="534">
        <f t="shared" si="24"/>
        <v>7.6708104882832109E-3</v>
      </c>
      <c r="L78" s="528">
        <v>20727140.879999999</v>
      </c>
      <c r="M78" s="560">
        <f t="shared" si="25"/>
        <v>0.99232918951171667</v>
      </c>
      <c r="N78" s="522">
        <f t="shared" si="28"/>
        <v>20887363.890000001</v>
      </c>
      <c r="O78" s="661">
        <f t="shared" si="26"/>
        <v>502.50813978273703</v>
      </c>
    </row>
    <row r="79" spans="1:15" ht="15.6" hidden="1" customHeight="1" outlineLevel="1" x14ac:dyDescent="0.25">
      <c r="A79" s="503">
        <v>2000</v>
      </c>
      <c r="B79" s="504" t="s">
        <v>26</v>
      </c>
      <c r="C79" s="505">
        <v>7349</v>
      </c>
      <c r="D79" s="505">
        <v>4308</v>
      </c>
      <c r="E79" s="511">
        <v>1246.44</v>
      </c>
      <c r="F79" s="534">
        <f t="shared" si="12"/>
        <v>0.97336300808246468</v>
      </c>
      <c r="G79" s="512">
        <v>34.11</v>
      </c>
      <c r="H79" s="534">
        <f t="shared" si="13"/>
        <v>2.6636991917535435E-2</v>
      </c>
      <c r="I79" s="518">
        <f t="shared" si="23"/>
        <v>1280.55</v>
      </c>
      <c r="J79" s="527">
        <v>395037.79</v>
      </c>
      <c r="K79" s="534">
        <f t="shared" si="24"/>
        <v>0.98066151679127855</v>
      </c>
      <c r="L79" s="528">
        <v>7790.08</v>
      </c>
      <c r="M79" s="560">
        <f t="shared" si="25"/>
        <v>1.9338483208721384E-2</v>
      </c>
      <c r="N79" s="522">
        <f t="shared" si="28"/>
        <v>402827.87</v>
      </c>
      <c r="O79" s="661">
        <f t="shared" si="26"/>
        <v>314.57410487681074</v>
      </c>
    </row>
    <row r="80" spans="1:15" ht="15.6" hidden="1" customHeight="1" outlineLevel="1" thickBot="1" x14ac:dyDescent="0.3">
      <c r="A80" s="506">
        <v>2000</v>
      </c>
      <c r="B80" s="507" t="s">
        <v>27</v>
      </c>
      <c r="C80" s="508">
        <v>8300</v>
      </c>
      <c r="D80" s="508">
        <v>9917</v>
      </c>
      <c r="E80" s="513">
        <v>6033.19</v>
      </c>
      <c r="F80" s="535">
        <f t="shared" si="12"/>
        <v>0.73513807927007591</v>
      </c>
      <c r="G80" s="514">
        <v>2173.69</v>
      </c>
      <c r="H80" s="535">
        <f t="shared" si="13"/>
        <v>0.26486192072992421</v>
      </c>
      <c r="I80" s="519">
        <f t="shared" si="23"/>
        <v>8206.8799999999992</v>
      </c>
      <c r="J80" s="529">
        <v>2263738.54</v>
      </c>
      <c r="K80" s="535">
        <f t="shared" si="24"/>
        <v>0.75061025378487467</v>
      </c>
      <c r="L80" s="530">
        <v>752125.59</v>
      </c>
      <c r="M80" s="561">
        <f t="shared" si="25"/>
        <v>0.24938974621512541</v>
      </c>
      <c r="N80" s="523">
        <f t="shared" si="28"/>
        <v>3015864.13</v>
      </c>
      <c r="O80" s="662">
        <f t="shared" si="26"/>
        <v>367.47998386719439</v>
      </c>
    </row>
    <row r="81" spans="1:15" s="4" customFormat="1" ht="14.4" collapsed="1" thickTop="1" thickBot="1" x14ac:dyDescent="0.3">
      <c r="A81" s="564">
        <f>+A80</f>
        <v>2000</v>
      </c>
      <c r="B81" s="565" t="s">
        <v>28</v>
      </c>
      <c r="C81" s="566">
        <f>SUM(C72:C80)</f>
        <v>256164</v>
      </c>
      <c r="D81" s="566">
        <f>SUM(D72:D80)</f>
        <v>239615</v>
      </c>
      <c r="E81" s="515">
        <f t="shared" ref="E81:N81" si="29">SUM(E72:E80)</f>
        <v>215074.47</v>
      </c>
      <c r="F81" s="533">
        <f t="shared" si="12"/>
        <v>0.81224795514680781</v>
      </c>
      <c r="G81" s="516">
        <f t="shared" si="29"/>
        <v>49714.710000000006</v>
      </c>
      <c r="H81" s="558">
        <f t="shared" si="13"/>
        <v>0.1877520448531923</v>
      </c>
      <c r="I81" s="520">
        <f t="shared" si="29"/>
        <v>264789.18</v>
      </c>
      <c r="J81" s="531">
        <f t="shared" si="29"/>
        <v>74971314.470000014</v>
      </c>
      <c r="K81" s="533">
        <f t="shared" si="24"/>
        <v>0.75446449493321177</v>
      </c>
      <c r="L81" s="532">
        <f t="shared" si="29"/>
        <v>24398920.939999998</v>
      </c>
      <c r="M81" s="562">
        <f t="shared" si="25"/>
        <v>0.24553550506678823</v>
      </c>
      <c r="N81" s="524">
        <f t="shared" si="29"/>
        <v>99370235.410000011</v>
      </c>
      <c r="O81" s="663">
        <f t="shared" si="26"/>
        <v>375.28057381347685</v>
      </c>
    </row>
    <row r="82" spans="1:15" ht="15.6" hidden="1" customHeight="1" outlineLevel="1" thickTop="1" x14ac:dyDescent="0.25">
      <c r="A82" s="500">
        <v>2001</v>
      </c>
      <c r="B82" s="501" t="s">
        <v>20</v>
      </c>
      <c r="C82" s="502">
        <v>8600</v>
      </c>
      <c r="D82" s="502">
        <v>9498</v>
      </c>
      <c r="E82" s="509">
        <v>5282.14</v>
      </c>
      <c r="F82" s="541">
        <f>IF(E82=0,0,+E82/$I82)</f>
        <v>0.82510747044562749</v>
      </c>
      <c r="G82" s="510">
        <v>1119.6199999999999</v>
      </c>
      <c r="H82" s="541">
        <f>IF(G82=0,0,+G82/$I82)</f>
        <v>0.17489252955437251</v>
      </c>
      <c r="I82" s="517">
        <f t="shared" si="23"/>
        <v>6401.76</v>
      </c>
      <c r="J82" s="525">
        <v>2335597.7799999998</v>
      </c>
      <c r="K82" s="541">
        <f t="shared" si="24"/>
        <v>0.85802495604473128</v>
      </c>
      <c r="L82" s="526">
        <v>386464.98</v>
      </c>
      <c r="M82" s="559">
        <f t="shared" si="25"/>
        <v>0.14197504395526869</v>
      </c>
      <c r="N82" s="521">
        <f t="shared" ref="N82:N90" si="30">J82+L82</f>
        <v>2722062.76</v>
      </c>
      <c r="O82" s="664">
        <f t="shared" si="26"/>
        <v>425.20537477193767</v>
      </c>
    </row>
    <row r="83" spans="1:15" ht="15.6" hidden="1" customHeight="1" outlineLevel="1" x14ac:dyDescent="0.25">
      <c r="A83" s="503">
        <v>2001</v>
      </c>
      <c r="B83" s="504" t="s">
        <v>41</v>
      </c>
      <c r="C83" s="505">
        <v>16430</v>
      </c>
      <c r="D83" s="505">
        <v>16705</v>
      </c>
      <c r="E83" s="511">
        <v>17059.8</v>
      </c>
      <c r="F83" s="534">
        <f t="shared" si="12"/>
        <v>0.99698679707515936</v>
      </c>
      <c r="G83" s="512">
        <v>51.56</v>
      </c>
      <c r="H83" s="534">
        <f t="shared" si="13"/>
        <v>3.0132029248405739E-3</v>
      </c>
      <c r="I83" s="518">
        <f t="shared" si="23"/>
        <v>17111.36</v>
      </c>
      <c r="J83" s="527">
        <v>7030291.0300000003</v>
      </c>
      <c r="K83" s="534">
        <f t="shared" si="24"/>
        <v>0.99692679619291547</v>
      </c>
      <c r="L83" s="528">
        <v>21672.12</v>
      </c>
      <c r="M83" s="560">
        <f t="shared" si="25"/>
        <v>3.0732038070845559E-3</v>
      </c>
      <c r="N83" s="522">
        <f t="shared" si="30"/>
        <v>7051963.1500000004</v>
      </c>
      <c r="O83" s="661">
        <f t="shared" si="26"/>
        <v>412.12172206066612</v>
      </c>
    </row>
    <row r="84" spans="1:15" ht="15.6" hidden="1" customHeight="1" outlineLevel="1" x14ac:dyDescent="0.25">
      <c r="A84" s="503">
        <v>2001</v>
      </c>
      <c r="B84" s="504" t="s">
        <v>21</v>
      </c>
      <c r="C84" s="505">
        <v>7184</v>
      </c>
      <c r="D84" s="505">
        <v>5820</v>
      </c>
      <c r="E84" s="511">
        <v>3245.5</v>
      </c>
      <c r="F84" s="534">
        <f t="shared" si="12"/>
        <v>0.55530650934550652</v>
      </c>
      <c r="G84" s="512">
        <v>2599.02</v>
      </c>
      <c r="H84" s="534">
        <f t="shared" si="13"/>
        <v>0.44469349065449343</v>
      </c>
      <c r="I84" s="518">
        <f t="shared" si="23"/>
        <v>5844.52</v>
      </c>
      <c r="J84" s="527">
        <v>1228740.25</v>
      </c>
      <c r="K84" s="534">
        <f t="shared" si="24"/>
        <v>0.51122229312845591</v>
      </c>
      <c r="L84" s="528">
        <v>1174793.92</v>
      </c>
      <c r="M84" s="560">
        <f t="shared" si="25"/>
        <v>0.48877770687154409</v>
      </c>
      <c r="N84" s="522">
        <f t="shared" si="30"/>
        <v>2403534.17</v>
      </c>
      <c r="O84" s="661">
        <f t="shared" si="26"/>
        <v>411.24577724090256</v>
      </c>
    </row>
    <row r="85" spans="1:15" ht="15.6" hidden="1" customHeight="1" outlineLevel="1" x14ac:dyDescent="0.25">
      <c r="A85" s="503">
        <v>2001</v>
      </c>
      <c r="B85" s="504" t="s">
        <v>22</v>
      </c>
      <c r="C85" s="505">
        <v>79100</v>
      </c>
      <c r="D85" s="505">
        <v>68087</v>
      </c>
      <c r="E85" s="511">
        <v>60208.43</v>
      </c>
      <c r="F85" s="534">
        <f t="shared" si="12"/>
        <v>0.99628365420096499</v>
      </c>
      <c r="G85" s="512">
        <v>224.59</v>
      </c>
      <c r="H85" s="534">
        <f t="shared" si="13"/>
        <v>3.7163457990350311E-3</v>
      </c>
      <c r="I85" s="518">
        <f t="shared" si="23"/>
        <v>60433.02</v>
      </c>
      <c r="J85" s="527">
        <v>19324646.100000001</v>
      </c>
      <c r="K85" s="534">
        <f t="shared" si="24"/>
        <v>0.99741347909554323</v>
      </c>
      <c r="L85" s="528">
        <v>50113.22</v>
      </c>
      <c r="M85" s="560">
        <f t="shared" si="25"/>
        <v>2.5865209044568407E-3</v>
      </c>
      <c r="N85" s="522">
        <f t="shared" si="30"/>
        <v>19374759.32</v>
      </c>
      <c r="O85" s="661">
        <f t="shared" si="26"/>
        <v>320.59889312167422</v>
      </c>
    </row>
    <row r="86" spans="1:15" ht="15.6" hidden="1" customHeight="1" outlineLevel="1" x14ac:dyDescent="0.25">
      <c r="A86" s="503">
        <v>2001</v>
      </c>
      <c r="B86" s="504" t="s">
        <v>23</v>
      </c>
      <c r="C86" s="505">
        <v>43400</v>
      </c>
      <c r="D86" s="505">
        <v>48424</v>
      </c>
      <c r="E86" s="511">
        <v>55054.55</v>
      </c>
      <c r="F86" s="534">
        <f t="shared" si="12"/>
        <v>0.99736575896069479</v>
      </c>
      <c r="G86" s="512">
        <v>145.41</v>
      </c>
      <c r="H86" s="534">
        <f t="shared" si="13"/>
        <v>2.6342410393051007E-3</v>
      </c>
      <c r="I86" s="518">
        <f t="shared" si="23"/>
        <v>55199.960000000006</v>
      </c>
      <c r="J86" s="527">
        <v>21415955.960000001</v>
      </c>
      <c r="K86" s="534">
        <f t="shared" si="24"/>
        <v>0.9976895199007112</v>
      </c>
      <c r="L86" s="528">
        <v>49595.73</v>
      </c>
      <c r="M86" s="560">
        <f t="shared" si="25"/>
        <v>2.310480099288797E-3</v>
      </c>
      <c r="N86" s="522">
        <f t="shared" si="30"/>
        <v>21465551.690000001</v>
      </c>
      <c r="O86" s="661">
        <f t="shared" si="26"/>
        <v>388.86897182534187</v>
      </c>
    </row>
    <row r="87" spans="1:15" ht="15.6" hidden="1" customHeight="1" outlineLevel="1" x14ac:dyDescent="0.25">
      <c r="A87" s="503">
        <v>2001</v>
      </c>
      <c r="B87" s="504" t="s">
        <v>24</v>
      </c>
      <c r="C87" s="505">
        <v>37150</v>
      </c>
      <c r="D87" s="505">
        <v>33521</v>
      </c>
      <c r="E87" s="511">
        <v>34743.57</v>
      </c>
      <c r="F87" s="534">
        <f t="shared" ref="F87:F92" si="31">IF(E87=0,0,+E87/$I87)</f>
        <v>1</v>
      </c>
      <c r="G87" s="512">
        <v>0</v>
      </c>
      <c r="H87" s="534">
        <f t="shared" ref="H87:H92" si="32">IF(G87=0,0,+G87/$I87)</f>
        <v>0</v>
      </c>
      <c r="I87" s="518">
        <f t="shared" si="23"/>
        <v>34743.57</v>
      </c>
      <c r="J87" s="527">
        <v>8763966.0399999991</v>
      </c>
      <c r="K87" s="534">
        <f t="shared" si="24"/>
        <v>1</v>
      </c>
      <c r="L87" s="528">
        <v>0</v>
      </c>
      <c r="M87" s="560">
        <f t="shared" si="25"/>
        <v>0</v>
      </c>
      <c r="N87" s="522">
        <f t="shared" si="30"/>
        <v>8763966.0399999991</v>
      </c>
      <c r="O87" s="661">
        <f t="shared" si="26"/>
        <v>252.24713637660145</v>
      </c>
    </row>
    <row r="88" spans="1:15" ht="15.6" hidden="1" customHeight="1" outlineLevel="1" x14ac:dyDescent="0.25">
      <c r="A88" s="503">
        <v>2001</v>
      </c>
      <c r="B88" s="504" t="s">
        <v>25</v>
      </c>
      <c r="C88" s="505">
        <v>31000</v>
      </c>
      <c r="D88" s="505">
        <v>23088</v>
      </c>
      <c r="E88" s="511">
        <v>2596.0700000000002</v>
      </c>
      <c r="F88" s="534">
        <f t="shared" si="31"/>
        <v>7.6475538945060761E-2</v>
      </c>
      <c r="G88" s="512">
        <v>31350.34</v>
      </c>
      <c r="H88" s="534">
        <f t="shared" si="32"/>
        <v>0.92352446105493913</v>
      </c>
      <c r="I88" s="518">
        <f t="shared" si="23"/>
        <v>33946.410000000003</v>
      </c>
      <c r="J88" s="527">
        <v>669753.24</v>
      </c>
      <c r="K88" s="534">
        <f t="shared" si="24"/>
        <v>3.7653478885317511E-2</v>
      </c>
      <c r="L88" s="528">
        <v>17117533.879999999</v>
      </c>
      <c r="M88" s="560">
        <f t="shared" si="25"/>
        <v>0.96234652111468255</v>
      </c>
      <c r="N88" s="522">
        <f t="shared" si="30"/>
        <v>17787287.119999997</v>
      </c>
      <c r="O88" s="661">
        <f t="shared" si="26"/>
        <v>523.98139066840929</v>
      </c>
    </row>
    <row r="89" spans="1:15" ht="15.6" hidden="1" customHeight="1" outlineLevel="1" x14ac:dyDescent="0.25">
      <c r="A89" s="503">
        <v>2001</v>
      </c>
      <c r="B89" s="504" t="s">
        <v>26</v>
      </c>
      <c r="C89" s="505"/>
      <c r="D89" s="505">
        <v>4191</v>
      </c>
      <c r="E89" s="511">
        <v>1403.95</v>
      </c>
      <c r="F89" s="534">
        <f t="shared" si="31"/>
        <v>0.91284135240572173</v>
      </c>
      <c r="G89" s="512">
        <v>134.05000000000001</v>
      </c>
      <c r="H89" s="534">
        <f t="shared" si="32"/>
        <v>8.7158647594278285E-2</v>
      </c>
      <c r="I89" s="518">
        <f t="shared" si="23"/>
        <v>1538</v>
      </c>
      <c r="J89" s="527">
        <v>513491.39</v>
      </c>
      <c r="K89" s="534">
        <f t="shared" si="24"/>
        <v>0.93289800149004554</v>
      </c>
      <c r="L89" s="528">
        <v>36934.69</v>
      </c>
      <c r="M89" s="560">
        <f t="shared" si="25"/>
        <v>6.7101998509954325E-2</v>
      </c>
      <c r="N89" s="522">
        <f t="shared" si="30"/>
        <v>550426.08000000007</v>
      </c>
      <c r="O89" s="661">
        <f t="shared" si="26"/>
        <v>357.88431729518862</v>
      </c>
    </row>
    <row r="90" spans="1:15" ht="15.6" hidden="1" customHeight="1" outlineLevel="1" thickBot="1" x14ac:dyDescent="0.3">
      <c r="A90" s="506">
        <v>2001</v>
      </c>
      <c r="B90" s="507" t="s">
        <v>27</v>
      </c>
      <c r="C90" s="508">
        <v>3900</v>
      </c>
      <c r="D90" s="508">
        <v>0</v>
      </c>
      <c r="E90" s="513">
        <v>13474.63</v>
      </c>
      <c r="F90" s="535">
        <f t="shared" si="31"/>
        <v>0.99984936920572298</v>
      </c>
      <c r="G90" s="514">
        <v>2.0299999999999998</v>
      </c>
      <c r="H90" s="535">
        <f t="shared" si="32"/>
        <v>1.5063079427692024E-4</v>
      </c>
      <c r="I90" s="519">
        <f t="shared" si="23"/>
        <v>13476.66</v>
      </c>
      <c r="J90" s="529">
        <v>4207434.66</v>
      </c>
      <c r="K90" s="535">
        <f t="shared" si="24"/>
        <v>0.99982019116036724</v>
      </c>
      <c r="L90" s="530">
        <v>756.67</v>
      </c>
      <c r="M90" s="561">
        <f t="shared" si="25"/>
        <v>1.79808839632774E-4</v>
      </c>
      <c r="N90" s="523">
        <f t="shared" si="30"/>
        <v>4208191.33</v>
      </c>
      <c r="O90" s="662">
        <f t="shared" si="26"/>
        <v>312.25773522519677</v>
      </c>
    </row>
    <row r="91" spans="1:15" s="4" customFormat="1" ht="14.4" collapsed="1" thickTop="1" thickBot="1" x14ac:dyDescent="0.3">
      <c r="A91" s="564">
        <f>+A90</f>
        <v>2001</v>
      </c>
      <c r="B91" s="565" t="s">
        <v>28</v>
      </c>
      <c r="C91" s="566">
        <f>SUM(C82:C90)</f>
        <v>226764</v>
      </c>
      <c r="D91" s="566">
        <f>SUM(D82:D90)</f>
        <v>209334</v>
      </c>
      <c r="E91" s="515">
        <f t="shared" ref="E91:N91" si="33">SUM(E82:E90)</f>
        <v>193068.64</v>
      </c>
      <c r="F91" s="533">
        <f t="shared" si="31"/>
        <v>0.84421793438132475</v>
      </c>
      <c r="G91" s="516">
        <f t="shared" si="33"/>
        <v>35626.620000000003</v>
      </c>
      <c r="H91" s="558">
        <f t="shared" si="32"/>
        <v>0.15578206561867528</v>
      </c>
      <c r="I91" s="520">
        <f t="shared" si="33"/>
        <v>228695.26</v>
      </c>
      <c r="J91" s="531">
        <f t="shared" si="33"/>
        <v>65489876.450000003</v>
      </c>
      <c r="K91" s="533">
        <f t="shared" si="24"/>
        <v>0.77661129256903194</v>
      </c>
      <c r="L91" s="532">
        <f t="shared" si="33"/>
        <v>18837865.210000001</v>
      </c>
      <c r="M91" s="562">
        <f t="shared" si="25"/>
        <v>0.22338870743096811</v>
      </c>
      <c r="N91" s="524">
        <f t="shared" si="33"/>
        <v>84327741.659999996</v>
      </c>
      <c r="O91" s="663">
        <f t="shared" si="26"/>
        <v>368.73410345277813</v>
      </c>
    </row>
    <row r="92" spans="1:15" ht="15.6" hidden="1" customHeight="1" outlineLevel="1" thickTop="1" x14ac:dyDescent="0.25">
      <c r="A92" s="500">
        <v>2002</v>
      </c>
      <c r="B92" s="501" t="s">
        <v>20</v>
      </c>
      <c r="C92" s="502">
        <v>10700</v>
      </c>
      <c r="D92" s="502">
        <v>8549</v>
      </c>
      <c r="E92" s="509">
        <v>10957.66</v>
      </c>
      <c r="F92" s="541">
        <f t="shared" si="31"/>
        <v>0.87237931764732113</v>
      </c>
      <c r="G92" s="510">
        <v>1603</v>
      </c>
      <c r="H92" s="541">
        <f t="shared" si="32"/>
        <v>0.12762068235267893</v>
      </c>
      <c r="I92" s="517">
        <f t="shared" si="23"/>
        <v>12560.66</v>
      </c>
      <c r="J92" s="525">
        <v>4517225.8099999996</v>
      </c>
      <c r="K92" s="541">
        <f t="shared" si="24"/>
        <v>0.88193247591654955</v>
      </c>
      <c r="L92" s="526">
        <v>604737.53</v>
      </c>
      <c r="M92" s="559">
        <f t="shared" si="25"/>
        <v>0.11806752408345039</v>
      </c>
      <c r="N92" s="521">
        <f t="shared" ref="N92:N100" si="34">J92+L92</f>
        <v>5121963.34</v>
      </c>
      <c r="O92" s="664">
        <f t="shared" si="26"/>
        <v>407.77820114548121</v>
      </c>
    </row>
    <row r="93" spans="1:15" ht="15.6" hidden="1" customHeight="1" outlineLevel="1" x14ac:dyDescent="0.25">
      <c r="A93" s="503">
        <v>2002</v>
      </c>
      <c r="B93" s="504" t="s">
        <v>41</v>
      </c>
      <c r="C93" s="505">
        <v>18328</v>
      </c>
      <c r="D93" s="505">
        <v>23345</v>
      </c>
      <c r="E93" s="511">
        <v>21663.26</v>
      </c>
      <c r="F93" s="534">
        <f t="shared" ref="F93:F156" si="35">IF(E93=0,0,+E93/$I93)</f>
        <v>0.99546593523644278</v>
      </c>
      <c r="G93" s="512">
        <v>98.67</v>
      </c>
      <c r="H93" s="534">
        <f t="shared" ref="H93:H156" si="36">IF(G93=0,0,+G93/$I93)</f>
        <v>4.5340647635572773E-3</v>
      </c>
      <c r="I93" s="518">
        <f t="shared" si="23"/>
        <v>21761.929999999997</v>
      </c>
      <c r="J93" s="527">
        <v>8986560.4100000001</v>
      </c>
      <c r="K93" s="534">
        <f t="shared" si="24"/>
        <v>0.99555799113179988</v>
      </c>
      <c r="L93" s="528">
        <v>40096.49</v>
      </c>
      <c r="M93" s="560">
        <f t="shared" si="25"/>
        <v>4.442008868200141E-3</v>
      </c>
      <c r="N93" s="522">
        <f t="shared" si="34"/>
        <v>9026656.9000000004</v>
      </c>
      <c r="O93" s="661">
        <f t="shared" si="26"/>
        <v>414.79119269292761</v>
      </c>
    </row>
    <row r="94" spans="1:15" ht="15.6" hidden="1" customHeight="1" outlineLevel="1" x14ac:dyDescent="0.25">
      <c r="A94" s="503">
        <v>2002</v>
      </c>
      <c r="B94" s="504" t="s">
        <v>21</v>
      </c>
      <c r="C94" s="505">
        <v>4300</v>
      </c>
      <c r="D94" s="505">
        <v>10458</v>
      </c>
      <c r="E94" s="511">
        <v>4331.18</v>
      </c>
      <c r="F94" s="534">
        <f t="shared" si="35"/>
        <v>0.90129268008456942</v>
      </c>
      <c r="G94" s="512">
        <v>474.34</v>
      </c>
      <c r="H94" s="534">
        <f t="shared" si="36"/>
        <v>9.870731991543058E-2</v>
      </c>
      <c r="I94" s="518">
        <f t="shared" si="23"/>
        <v>4805.5200000000004</v>
      </c>
      <c r="J94" s="527">
        <v>1966840.17</v>
      </c>
      <c r="K94" s="534">
        <f t="shared" si="24"/>
        <v>0.90809814750376316</v>
      </c>
      <c r="L94" s="528">
        <v>199049.25</v>
      </c>
      <c r="M94" s="560">
        <f t="shared" si="25"/>
        <v>9.1901852496236863E-2</v>
      </c>
      <c r="N94" s="522">
        <f t="shared" si="34"/>
        <v>2165889.42</v>
      </c>
      <c r="O94" s="661">
        <f t="shared" si="26"/>
        <v>450.70864755531136</v>
      </c>
    </row>
    <row r="95" spans="1:15" ht="15.6" hidden="1" customHeight="1" outlineLevel="1" x14ac:dyDescent="0.25">
      <c r="A95" s="503">
        <v>2002</v>
      </c>
      <c r="B95" s="504" t="s">
        <v>22</v>
      </c>
      <c r="C95" s="505">
        <v>82900</v>
      </c>
      <c r="D95" s="505">
        <v>68087</v>
      </c>
      <c r="E95" s="511">
        <v>61724.89</v>
      </c>
      <c r="F95" s="534">
        <f t="shared" si="35"/>
        <v>0.99653146695989803</v>
      </c>
      <c r="G95" s="512">
        <v>214.84</v>
      </c>
      <c r="H95" s="534">
        <f t="shared" si="36"/>
        <v>3.4685330401020478E-3</v>
      </c>
      <c r="I95" s="518">
        <f t="shared" si="23"/>
        <v>61939.729999999996</v>
      </c>
      <c r="J95" s="527">
        <v>20213372.989999998</v>
      </c>
      <c r="K95" s="534">
        <f t="shared" si="24"/>
        <v>0.99833581138185068</v>
      </c>
      <c r="L95" s="528">
        <v>33694.94</v>
      </c>
      <c r="M95" s="560">
        <f t="shared" si="25"/>
        <v>1.6641886181492159E-3</v>
      </c>
      <c r="N95" s="522">
        <f t="shared" si="34"/>
        <v>20247067.93</v>
      </c>
      <c r="O95" s="661">
        <f t="shared" si="26"/>
        <v>326.8833740476428</v>
      </c>
    </row>
    <row r="96" spans="1:15" ht="15.6" hidden="1" customHeight="1" outlineLevel="1" x14ac:dyDescent="0.25">
      <c r="A96" s="503">
        <v>2002</v>
      </c>
      <c r="B96" s="504" t="s">
        <v>23</v>
      </c>
      <c r="C96" s="505">
        <v>38000</v>
      </c>
      <c r="D96" s="505">
        <v>44933</v>
      </c>
      <c r="E96" s="511">
        <v>64075.09</v>
      </c>
      <c r="F96" s="534">
        <f t="shared" si="35"/>
        <v>0.99913411097538118</v>
      </c>
      <c r="G96" s="512">
        <v>55.53</v>
      </c>
      <c r="H96" s="534">
        <f t="shared" si="36"/>
        <v>8.6588902461881708E-4</v>
      </c>
      <c r="I96" s="518">
        <f t="shared" si="23"/>
        <v>64130.619999999995</v>
      </c>
      <c r="J96" s="527">
        <v>25987951.73</v>
      </c>
      <c r="K96" s="534">
        <f t="shared" si="24"/>
        <v>0.99926938845116231</v>
      </c>
      <c r="L96" s="528">
        <v>19000.98</v>
      </c>
      <c r="M96" s="560">
        <f t="shared" si="25"/>
        <v>7.3061154883762611E-4</v>
      </c>
      <c r="N96" s="522">
        <f t="shared" si="34"/>
        <v>26006952.710000001</v>
      </c>
      <c r="O96" s="661">
        <f t="shared" si="26"/>
        <v>405.53097272410594</v>
      </c>
    </row>
    <row r="97" spans="1:15" ht="15.6" hidden="1" customHeight="1" outlineLevel="1" x14ac:dyDescent="0.25">
      <c r="A97" s="503">
        <v>2002</v>
      </c>
      <c r="B97" s="504" t="s">
        <v>24</v>
      </c>
      <c r="C97" s="505">
        <v>24000</v>
      </c>
      <c r="D97" s="505">
        <v>32271</v>
      </c>
      <c r="E97" s="511">
        <v>49273.41</v>
      </c>
      <c r="F97" s="534">
        <f t="shared" si="35"/>
        <v>0.9999835613836201</v>
      </c>
      <c r="G97" s="512">
        <v>0.81</v>
      </c>
      <c r="H97" s="534">
        <f t="shared" si="36"/>
        <v>1.643861637992443E-5</v>
      </c>
      <c r="I97" s="518">
        <f t="shared" si="23"/>
        <v>49274.22</v>
      </c>
      <c r="J97" s="527">
        <v>12903054.85</v>
      </c>
      <c r="K97" s="534">
        <f t="shared" si="24"/>
        <v>0.99997699667438422</v>
      </c>
      <c r="L97" s="528">
        <v>296.82</v>
      </c>
      <c r="M97" s="560">
        <f t="shared" si="25"/>
        <v>2.3003325615785531E-5</v>
      </c>
      <c r="N97" s="522">
        <f t="shared" si="34"/>
        <v>12903351.67</v>
      </c>
      <c r="O97" s="661">
        <f t="shared" si="26"/>
        <v>261.8682075535645</v>
      </c>
    </row>
    <row r="98" spans="1:15" ht="15.6" hidden="1" customHeight="1" outlineLevel="1" x14ac:dyDescent="0.25">
      <c r="A98" s="503">
        <v>2002</v>
      </c>
      <c r="B98" s="504" t="s">
        <v>25</v>
      </c>
      <c r="C98" s="505">
        <v>19900</v>
      </c>
      <c r="D98" s="505">
        <v>20623</v>
      </c>
      <c r="E98" s="511">
        <v>2249.86</v>
      </c>
      <c r="F98" s="534">
        <f t="shared" si="35"/>
        <v>8.1524435118273952E-2</v>
      </c>
      <c r="G98" s="512">
        <v>25347.51</v>
      </c>
      <c r="H98" s="534">
        <f t="shared" si="36"/>
        <v>0.91847556488172599</v>
      </c>
      <c r="I98" s="518">
        <f t="shared" ref="I98:I129" si="37">E98+G98</f>
        <v>27597.37</v>
      </c>
      <c r="J98" s="527">
        <v>1279870.24</v>
      </c>
      <c r="K98" s="534">
        <f t="shared" si="24"/>
        <v>9.2916620075994133E-2</v>
      </c>
      <c r="L98" s="528">
        <v>12494524.9</v>
      </c>
      <c r="M98" s="560">
        <f t="shared" si="25"/>
        <v>0.90708337992400589</v>
      </c>
      <c r="N98" s="522">
        <f t="shared" si="34"/>
        <v>13774395.140000001</v>
      </c>
      <c r="O98" s="661">
        <f t="shared" si="26"/>
        <v>499.1198487392096</v>
      </c>
    </row>
    <row r="99" spans="1:15" ht="15.6" hidden="1" customHeight="1" outlineLevel="1" x14ac:dyDescent="0.25">
      <c r="A99" s="503">
        <v>2002</v>
      </c>
      <c r="B99" s="504" t="s">
        <v>26</v>
      </c>
      <c r="C99" s="505"/>
      <c r="D99" s="505"/>
      <c r="E99" s="511">
        <v>2344.5700000000002</v>
      </c>
      <c r="F99" s="534">
        <f t="shared" si="35"/>
        <v>0.74693049245923782</v>
      </c>
      <c r="G99" s="512">
        <v>794.37</v>
      </c>
      <c r="H99" s="534">
        <f t="shared" si="36"/>
        <v>0.25306950754076218</v>
      </c>
      <c r="I99" s="518">
        <f t="shared" si="37"/>
        <v>3138.94</v>
      </c>
      <c r="J99" s="527">
        <v>633293.35</v>
      </c>
      <c r="K99" s="534">
        <f t="shared" si="24"/>
        <v>0.66128698365649596</v>
      </c>
      <c r="L99" s="528">
        <v>324374.59999999998</v>
      </c>
      <c r="M99" s="560">
        <f t="shared" si="25"/>
        <v>0.33871301634350404</v>
      </c>
      <c r="N99" s="522">
        <f t="shared" si="34"/>
        <v>957667.95</v>
      </c>
      <c r="O99" s="661">
        <f t="shared" si="26"/>
        <v>305.09278609976616</v>
      </c>
    </row>
    <row r="100" spans="1:15" ht="15.6" hidden="1" customHeight="1" outlineLevel="1" thickBot="1" x14ac:dyDescent="0.3">
      <c r="A100" s="506">
        <v>2002</v>
      </c>
      <c r="B100" s="507" t="s">
        <v>27</v>
      </c>
      <c r="C100" s="508">
        <v>7500</v>
      </c>
      <c r="D100" s="508">
        <v>6780</v>
      </c>
      <c r="E100" s="513">
        <v>11706.71</v>
      </c>
      <c r="F100" s="535">
        <f t="shared" si="35"/>
        <v>0.92364930596374895</v>
      </c>
      <c r="G100" s="514">
        <v>967.7</v>
      </c>
      <c r="H100" s="535">
        <f t="shared" si="36"/>
        <v>7.6350694036250999E-2</v>
      </c>
      <c r="I100" s="519">
        <f t="shared" si="37"/>
        <v>12674.41</v>
      </c>
      <c r="J100" s="529">
        <v>3056285.8</v>
      </c>
      <c r="K100" s="535">
        <f t="shared" si="24"/>
        <v>0.90325717801315764</v>
      </c>
      <c r="L100" s="530">
        <v>327341.67</v>
      </c>
      <c r="M100" s="561">
        <f t="shared" si="25"/>
        <v>9.674282198684242E-2</v>
      </c>
      <c r="N100" s="523">
        <f t="shared" si="34"/>
        <v>3383627.4699999997</v>
      </c>
      <c r="O100" s="662">
        <f t="shared" si="26"/>
        <v>266.96528438010131</v>
      </c>
    </row>
    <row r="101" spans="1:15" s="4" customFormat="1" ht="14.4" collapsed="1" thickTop="1" thickBot="1" x14ac:dyDescent="0.3">
      <c r="A101" s="564">
        <f>+A100</f>
        <v>2002</v>
      </c>
      <c r="B101" s="565" t="s">
        <v>28</v>
      </c>
      <c r="C101" s="566">
        <f>SUM(C92:C100)</f>
        <v>205628</v>
      </c>
      <c r="D101" s="566">
        <f>SUM(D92:D100)</f>
        <v>215046</v>
      </c>
      <c r="E101" s="515">
        <f t="shared" ref="E101:N101" si="38">SUM(E92:E100)</f>
        <v>228326.62999999998</v>
      </c>
      <c r="F101" s="533">
        <f t="shared" si="35"/>
        <v>0.88538707803604255</v>
      </c>
      <c r="G101" s="516">
        <f t="shared" si="38"/>
        <v>29556.769999999997</v>
      </c>
      <c r="H101" s="558">
        <f t="shared" si="36"/>
        <v>0.11461292196395735</v>
      </c>
      <c r="I101" s="520">
        <f t="shared" si="38"/>
        <v>257883.4</v>
      </c>
      <c r="J101" s="531">
        <f t="shared" si="38"/>
        <v>79544455.349999979</v>
      </c>
      <c r="K101" s="533">
        <f t="shared" si="24"/>
        <v>0.84994677391062334</v>
      </c>
      <c r="L101" s="532">
        <f t="shared" si="38"/>
        <v>14043117.18</v>
      </c>
      <c r="M101" s="562">
        <f t="shared" si="25"/>
        <v>0.15005322608937638</v>
      </c>
      <c r="N101" s="524">
        <f t="shared" si="38"/>
        <v>93587572.530000001</v>
      </c>
      <c r="O101" s="663">
        <f t="shared" si="26"/>
        <v>362.90654043649187</v>
      </c>
    </row>
    <row r="102" spans="1:15" ht="15.6" hidden="1" customHeight="1" outlineLevel="1" thickTop="1" x14ac:dyDescent="0.25">
      <c r="A102" s="500">
        <v>2003</v>
      </c>
      <c r="B102" s="501" t="s">
        <v>20</v>
      </c>
      <c r="C102" s="502">
        <v>8200</v>
      </c>
      <c r="D102" s="502">
        <v>13019</v>
      </c>
      <c r="E102" s="509">
        <v>12436.66</v>
      </c>
      <c r="F102" s="541">
        <f>IF(E102=0,0,+E102/$I102)</f>
        <v>0.75357164064611282</v>
      </c>
      <c r="G102" s="510">
        <v>4066.96</v>
      </c>
      <c r="H102" s="541">
        <f>IF(G102=0,0,+G102/$I102)</f>
        <v>0.24642835935388724</v>
      </c>
      <c r="I102" s="517">
        <f t="shared" si="37"/>
        <v>16503.62</v>
      </c>
      <c r="J102" s="525">
        <v>4276281.99</v>
      </c>
      <c r="K102" s="541">
        <f t="shared" si="24"/>
        <v>0.73552912759471001</v>
      </c>
      <c r="L102" s="526">
        <v>1537603.32</v>
      </c>
      <c r="M102" s="559">
        <f t="shared" si="25"/>
        <v>0.26447087240528999</v>
      </c>
      <c r="N102" s="521">
        <f t="shared" ref="N102:N110" si="39">J102+L102</f>
        <v>5813885.3100000005</v>
      </c>
      <c r="O102" s="664">
        <f t="shared" si="26"/>
        <v>352.27939748976291</v>
      </c>
    </row>
    <row r="103" spans="1:15" ht="15.6" hidden="1" customHeight="1" outlineLevel="1" x14ac:dyDescent="0.25">
      <c r="A103" s="503">
        <v>2003</v>
      </c>
      <c r="B103" s="504" t="s">
        <v>41</v>
      </c>
      <c r="C103" s="505">
        <v>19189</v>
      </c>
      <c r="D103" s="505">
        <v>12070</v>
      </c>
      <c r="E103" s="511">
        <v>23052.57</v>
      </c>
      <c r="F103" s="534">
        <f t="shared" si="35"/>
        <v>0.99892448842785087</v>
      </c>
      <c r="G103" s="512">
        <v>24.82</v>
      </c>
      <c r="H103" s="534">
        <f t="shared" si="36"/>
        <v>1.0755115721491901E-3</v>
      </c>
      <c r="I103" s="518">
        <f t="shared" si="37"/>
        <v>23077.39</v>
      </c>
      <c r="J103" s="527">
        <v>9168320.3499999996</v>
      </c>
      <c r="K103" s="534">
        <f t="shared" si="24"/>
        <v>0.99882007497978786</v>
      </c>
      <c r="L103" s="528">
        <v>10830.71</v>
      </c>
      <c r="M103" s="560">
        <f t="shared" si="25"/>
        <v>1.1799250202120541E-3</v>
      </c>
      <c r="N103" s="522">
        <f t="shared" si="39"/>
        <v>9179151.0600000005</v>
      </c>
      <c r="O103" s="661">
        <f t="shared" si="26"/>
        <v>397.75516468716785</v>
      </c>
    </row>
    <row r="104" spans="1:15" ht="15.6" hidden="1" customHeight="1" outlineLevel="1" x14ac:dyDescent="0.25">
      <c r="A104" s="503">
        <v>2003</v>
      </c>
      <c r="B104" s="504" t="s">
        <v>21</v>
      </c>
      <c r="C104" s="505">
        <v>6900</v>
      </c>
      <c r="D104" s="505">
        <v>5880</v>
      </c>
      <c r="E104" s="511">
        <v>9312.75</v>
      </c>
      <c r="F104" s="534">
        <f t="shared" si="35"/>
        <v>0.95407256391474282</v>
      </c>
      <c r="G104" s="512">
        <v>448.3</v>
      </c>
      <c r="H104" s="534">
        <f t="shared" si="36"/>
        <v>4.5927436085257227E-2</v>
      </c>
      <c r="I104" s="518">
        <f t="shared" si="37"/>
        <v>9761.0499999999993</v>
      </c>
      <c r="J104" s="527">
        <v>3153675.75</v>
      </c>
      <c r="K104" s="534">
        <f t="shared" si="24"/>
        <v>0.94180153059499405</v>
      </c>
      <c r="L104" s="528">
        <v>194880.87</v>
      </c>
      <c r="M104" s="560">
        <f t="shared" si="25"/>
        <v>5.8198469405005906E-2</v>
      </c>
      <c r="N104" s="522">
        <f t="shared" si="39"/>
        <v>3348556.62</v>
      </c>
      <c r="O104" s="661">
        <f t="shared" si="26"/>
        <v>343.05291131589331</v>
      </c>
    </row>
    <row r="105" spans="1:15" ht="15.6" hidden="1" customHeight="1" outlineLevel="1" x14ac:dyDescent="0.25">
      <c r="A105" s="503">
        <v>2003</v>
      </c>
      <c r="B105" s="504" t="s">
        <v>22</v>
      </c>
      <c r="C105" s="505">
        <v>61000</v>
      </c>
      <c r="D105" s="505">
        <v>79503</v>
      </c>
      <c r="E105" s="511">
        <v>106920.17</v>
      </c>
      <c r="F105" s="534">
        <f t="shared" si="35"/>
        <v>0.98504742398807776</v>
      </c>
      <c r="G105" s="512">
        <v>1623</v>
      </c>
      <c r="H105" s="534">
        <f t="shared" si="36"/>
        <v>1.495257601192226E-2</v>
      </c>
      <c r="I105" s="518">
        <f t="shared" si="37"/>
        <v>108543.17</v>
      </c>
      <c r="J105" s="527">
        <v>37120191.57</v>
      </c>
      <c r="K105" s="534">
        <f t="shared" si="24"/>
        <v>0.98405505020281636</v>
      </c>
      <c r="L105" s="528">
        <v>601470</v>
      </c>
      <c r="M105" s="560">
        <f t="shared" si="25"/>
        <v>1.5944949797183604E-2</v>
      </c>
      <c r="N105" s="522">
        <f t="shared" si="39"/>
        <v>37721661.57</v>
      </c>
      <c r="O105" s="661">
        <f t="shared" si="26"/>
        <v>347.52680956342073</v>
      </c>
    </row>
    <row r="106" spans="1:15" ht="15.6" hidden="1" customHeight="1" outlineLevel="1" x14ac:dyDescent="0.25">
      <c r="A106" s="503">
        <v>2003</v>
      </c>
      <c r="B106" s="504" t="s">
        <v>23</v>
      </c>
      <c r="C106" s="505">
        <v>46900</v>
      </c>
      <c r="D106" s="505">
        <v>50985</v>
      </c>
      <c r="E106" s="511">
        <v>56179.839999999997</v>
      </c>
      <c r="F106" s="534">
        <f t="shared" si="35"/>
        <v>1</v>
      </c>
      <c r="G106" s="512">
        <v>0</v>
      </c>
      <c r="H106" s="534">
        <f t="shared" si="36"/>
        <v>0</v>
      </c>
      <c r="I106" s="518">
        <f t="shared" si="37"/>
        <v>56179.839999999997</v>
      </c>
      <c r="J106" s="527">
        <v>20760293.510000002</v>
      </c>
      <c r="K106" s="534">
        <f t="shared" si="24"/>
        <v>1</v>
      </c>
      <c r="L106" s="528">
        <v>0</v>
      </c>
      <c r="M106" s="560">
        <f t="shared" si="25"/>
        <v>0</v>
      </c>
      <c r="N106" s="522">
        <f t="shared" si="39"/>
        <v>20760293.510000002</v>
      </c>
      <c r="O106" s="661">
        <f t="shared" si="26"/>
        <v>369.53279877621588</v>
      </c>
    </row>
    <row r="107" spans="1:15" ht="15.6" hidden="1" customHeight="1" outlineLevel="1" x14ac:dyDescent="0.25">
      <c r="A107" s="503">
        <v>2003</v>
      </c>
      <c r="B107" s="504" t="s">
        <v>24</v>
      </c>
      <c r="C107" s="505">
        <v>53396</v>
      </c>
      <c r="D107" s="505">
        <v>57882</v>
      </c>
      <c r="E107" s="511">
        <v>40150.339999999997</v>
      </c>
      <c r="F107" s="534">
        <f t="shared" si="35"/>
        <v>0.99992279615395352</v>
      </c>
      <c r="G107" s="512">
        <v>3.1</v>
      </c>
      <c r="H107" s="534">
        <f t="shared" si="36"/>
        <v>7.7203846046565393E-5</v>
      </c>
      <c r="I107" s="518">
        <f t="shared" si="37"/>
        <v>40153.439999999995</v>
      </c>
      <c r="J107" s="527">
        <v>11201537.949999999</v>
      </c>
      <c r="K107" s="534">
        <f t="shared" si="24"/>
        <v>0.9999212634412219</v>
      </c>
      <c r="L107" s="528">
        <v>882.04</v>
      </c>
      <c r="M107" s="560">
        <f t="shared" si="25"/>
        <v>7.8736558778135944E-5</v>
      </c>
      <c r="N107" s="522">
        <f t="shared" si="39"/>
        <v>11202419.989999998</v>
      </c>
      <c r="O107" s="661">
        <f t="shared" si="26"/>
        <v>278.99029298610532</v>
      </c>
    </row>
    <row r="108" spans="1:15" ht="15.6" hidden="1" customHeight="1" outlineLevel="1" x14ac:dyDescent="0.25">
      <c r="A108" s="503">
        <v>2003</v>
      </c>
      <c r="B108" s="504" t="s">
        <v>25</v>
      </c>
      <c r="C108" s="505">
        <v>28391</v>
      </c>
      <c r="D108" s="505">
        <v>16577</v>
      </c>
      <c r="E108" s="511">
        <v>837.88</v>
      </c>
      <c r="F108" s="534">
        <f t="shared" si="35"/>
        <v>4.4661018033269224E-2</v>
      </c>
      <c r="G108" s="512">
        <v>17923</v>
      </c>
      <c r="H108" s="534">
        <f t="shared" si="36"/>
        <v>0.95533898196673073</v>
      </c>
      <c r="I108" s="518">
        <f t="shared" si="37"/>
        <v>18760.88</v>
      </c>
      <c r="J108" s="527">
        <v>213518</v>
      </c>
      <c r="K108" s="534">
        <f t="shared" si="24"/>
        <v>2.4336953872106611E-2</v>
      </c>
      <c r="L108" s="528">
        <v>8559888.9399999995</v>
      </c>
      <c r="M108" s="560">
        <f t="shared" si="25"/>
        <v>0.97566304612789334</v>
      </c>
      <c r="N108" s="522">
        <f t="shared" si="39"/>
        <v>8773406.9399999995</v>
      </c>
      <c r="O108" s="661">
        <f t="shared" si="26"/>
        <v>467.64367876133736</v>
      </c>
    </row>
    <row r="109" spans="1:15" ht="15.6" hidden="1" customHeight="1" outlineLevel="1" x14ac:dyDescent="0.25">
      <c r="A109" s="503">
        <v>2003</v>
      </c>
      <c r="B109" s="504" t="s">
        <v>26</v>
      </c>
      <c r="C109" s="505">
        <v>320</v>
      </c>
      <c r="D109" s="505">
        <v>0</v>
      </c>
      <c r="E109" s="511">
        <v>1800.66</v>
      </c>
      <c r="F109" s="534">
        <f t="shared" si="35"/>
        <v>0.89959682858470347</v>
      </c>
      <c r="G109" s="512">
        <v>200.97</v>
      </c>
      <c r="H109" s="534">
        <f t="shared" si="36"/>
        <v>0.10040317141529653</v>
      </c>
      <c r="I109" s="518">
        <f t="shared" si="37"/>
        <v>2001.63</v>
      </c>
      <c r="J109" s="527">
        <v>373955.03</v>
      </c>
      <c r="K109" s="534">
        <f t="shared" si="24"/>
        <v>0.81764257629664738</v>
      </c>
      <c r="L109" s="528">
        <v>83402.55</v>
      </c>
      <c r="M109" s="560">
        <f t="shared" si="25"/>
        <v>0.18235742370335264</v>
      </c>
      <c r="N109" s="522">
        <f t="shared" si="39"/>
        <v>457357.58</v>
      </c>
      <c r="O109" s="661">
        <f t="shared" si="26"/>
        <v>228.49256855662634</v>
      </c>
    </row>
    <row r="110" spans="1:15" ht="15.6" hidden="1" customHeight="1" outlineLevel="1" thickBot="1" x14ac:dyDescent="0.3">
      <c r="A110" s="506">
        <v>2003</v>
      </c>
      <c r="B110" s="507" t="s">
        <v>27</v>
      </c>
      <c r="C110" s="508">
        <v>7860</v>
      </c>
      <c r="D110" s="508">
        <v>6420</v>
      </c>
      <c r="E110" s="513">
        <v>2841.18</v>
      </c>
      <c r="F110" s="535">
        <f t="shared" si="35"/>
        <v>1</v>
      </c>
      <c r="G110" s="514">
        <v>0</v>
      </c>
      <c r="H110" s="535">
        <f t="shared" si="36"/>
        <v>0</v>
      </c>
      <c r="I110" s="519">
        <f t="shared" si="37"/>
        <v>2841.18</v>
      </c>
      <c r="J110" s="529">
        <v>607410.54</v>
      </c>
      <c r="K110" s="535">
        <f t="shared" si="24"/>
        <v>1</v>
      </c>
      <c r="L110" s="530">
        <v>0</v>
      </c>
      <c r="M110" s="561">
        <f t="shared" si="25"/>
        <v>0</v>
      </c>
      <c r="N110" s="523">
        <f t="shared" si="39"/>
        <v>607410.54</v>
      </c>
      <c r="O110" s="662">
        <f t="shared" si="26"/>
        <v>213.78812324456743</v>
      </c>
    </row>
    <row r="111" spans="1:15" s="4" customFormat="1" ht="14.4" collapsed="1" thickTop="1" thickBot="1" x14ac:dyDescent="0.3">
      <c r="A111" s="564">
        <f>+A110</f>
        <v>2003</v>
      </c>
      <c r="B111" s="565" t="s">
        <v>28</v>
      </c>
      <c r="C111" s="566">
        <f>SUM(C102:C110)</f>
        <v>232156</v>
      </c>
      <c r="D111" s="566">
        <f>SUM(D102:D110)</f>
        <v>242336</v>
      </c>
      <c r="E111" s="515">
        <f t="shared" ref="E111:N111" si="40">SUM(E102:E110)</f>
        <v>253532.05</v>
      </c>
      <c r="F111" s="533">
        <f t="shared" si="35"/>
        <v>0.91256944189485234</v>
      </c>
      <c r="G111" s="516">
        <f t="shared" si="40"/>
        <v>24290.15</v>
      </c>
      <c r="H111" s="558">
        <f t="shared" si="36"/>
        <v>8.743055810514784E-2</v>
      </c>
      <c r="I111" s="520">
        <f t="shared" si="40"/>
        <v>277822.19999999995</v>
      </c>
      <c r="J111" s="531">
        <f t="shared" si="40"/>
        <v>86875184.690000013</v>
      </c>
      <c r="K111" s="533">
        <f t="shared" si="24"/>
        <v>0.88771210701221337</v>
      </c>
      <c r="L111" s="532">
        <f t="shared" si="40"/>
        <v>10988958.43</v>
      </c>
      <c r="M111" s="562">
        <f t="shared" si="25"/>
        <v>0.11228789298778667</v>
      </c>
      <c r="N111" s="524">
        <f t="shared" si="40"/>
        <v>97864143.120000005</v>
      </c>
      <c r="O111" s="663">
        <f t="shared" si="26"/>
        <v>352.25458267913803</v>
      </c>
    </row>
    <row r="112" spans="1:15" ht="15.6" hidden="1" customHeight="1" outlineLevel="1" thickTop="1" x14ac:dyDescent="0.25">
      <c r="A112" s="500">
        <v>2004</v>
      </c>
      <c r="B112" s="501" t="s">
        <v>20</v>
      </c>
      <c r="C112" s="502">
        <v>12500</v>
      </c>
      <c r="D112" s="502">
        <v>8167</v>
      </c>
      <c r="E112" s="509">
        <v>15657.25</v>
      </c>
      <c r="F112" s="541">
        <f>IF(E112=0,0,+E112/$I112)</f>
        <v>0.88091493964447776</v>
      </c>
      <c r="G112" s="510">
        <v>2116.6</v>
      </c>
      <c r="H112" s="541">
        <f>IF(G112=0,0,+G112/$I112)</f>
        <v>0.1190850603555223</v>
      </c>
      <c r="I112" s="517">
        <f t="shared" si="37"/>
        <v>17773.849999999999</v>
      </c>
      <c r="J112" s="525">
        <v>5728931.8600000003</v>
      </c>
      <c r="K112" s="541">
        <f t="shared" si="24"/>
        <v>0.89341309087534282</v>
      </c>
      <c r="L112" s="526">
        <v>683479.06</v>
      </c>
      <c r="M112" s="559">
        <f t="shared" si="25"/>
        <v>0.10658690912465729</v>
      </c>
      <c r="N112" s="521">
        <f t="shared" ref="N112:N120" si="41">J112+L112</f>
        <v>6412410.9199999999</v>
      </c>
      <c r="O112" s="664">
        <f t="shared" si="26"/>
        <v>360.77782360040175</v>
      </c>
    </row>
    <row r="113" spans="1:15" ht="15.6" hidden="1" customHeight="1" outlineLevel="1" x14ac:dyDescent="0.25">
      <c r="A113" s="503">
        <v>2004</v>
      </c>
      <c r="B113" s="504" t="s">
        <v>41</v>
      </c>
      <c r="C113" s="505">
        <v>27319</v>
      </c>
      <c r="D113" s="505">
        <v>20068</v>
      </c>
      <c r="E113" s="511">
        <v>23489.86</v>
      </c>
      <c r="F113" s="534">
        <f t="shared" si="35"/>
        <v>1</v>
      </c>
      <c r="G113" s="512">
        <v>0</v>
      </c>
      <c r="H113" s="534">
        <f t="shared" si="36"/>
        <v>0</v>
      </c>
      <c r="I113" s="518">
        <f t="shared" si="37"/>
        <v>23489.86</v>
      </c>
      <c r="J113" s="527">
        <v>10119081.210000001</v>
      </c>
      <c r="K113" s="534">
        <f t="shared" si="24"/>
        <v>1</v>
      </c>
      <c r="L113" s="528">
        <v>0</v>
      </c>
      <c r="M113" s="560">
        <f t="shared" si="25"/>
        <v>0</v>
      </c>
      <c r="N113" s="522">
        <f t="shared" si="41"/>
        <v>10119081.210000001</v>
      </c>
      <c r="O113" s="661">
        <f t="shared" si="26"/>
        <v>430.7850796045613</v>
      </c>
    </row>
    <row r="114" spans="1:15" ht="15.6" hidden="1" customHeight="1" outlineLevel="1" x14ac:dyDescent="0.25">
      <c r="A114" s="503">
        <v>2004</v>
      </c>
      <c r="B114" s="504" t="s">
        <v>21</v>
      </c>
      <c r="C114" s="505">
        <v>5348</v>
      </c>
      <c r="D114" s="505">
        <v>6844</v>
      </c>
      <c r="E114" s="511">
        <v>3935</v>
      </c>
      <c r="F114" s="534">
        <f t="shared" si="35"/>
        <v>1</v>
      </c>
      <c r="G114" s="512">
        <v>0</v>
      </c>
      <c r="H114" s="534">
        <f t="shared" si="36"/>
        <v>0</v>
      </c>
      <c r="I114" s="518">
        <f t="shared" si="37"/>
        <v>3935</v>
      </c>
      <c r="J114" s="527">
        <v>1487805.81</v>
      </c>
      <c r="K114" s="534">
        <f t="shared" si="24"/>
        <v>1</v>
      </c>
      <c r="L114" s="528">
        <v>0</v>
      </c>
      <c r="M114" s="560">
        <f t="shared" si="25"/>
        <v>0</v>
      </c>
      <c r="N114" s="522">
        <f t="shared" si="41"/>
        <v>1487805.81</v>
      </c>
      <c r="O114" s="661">
        <f t="shared" si="26"/>
        <v>378.09550444726813</v>
      </c>
    </row>
    <row r="115" spans="1:15" ht="15.6" hidden="1" customHeight="1" outlineLevel="1" x14ac:dyDescent="0.25">
      <c r="A115" s="503">
        <v>2004</v>
      </c>
      <c r="B115" s="504" t="s">
        <v>22</v>
      </c>
      <c r="C115" s="505">
        <v>69300</v>
      </c>
      <c r="D115" s="505">
        <v>88366</v>
      </c>
      <c r="E115" s="511">
        <v>78397.19</v>
      </c>
      <c r="F115" s="534">
        <f t="shared" si="35"/>
        <v>0.98763347859876494</v>
      </c>
      <c r="G115" s="512">
        <v>981.64</v>
      </c>
      <c r="H115" s="534">
        <f t="shared" si="36"/>
        <v>1.2366521401235064E-2</v>
      </c>
      <c r="I115" s="518">
        <f t="shared" si="37"/>
        <v>79378.83</v>
      </c>
      <c r="J115" s="527">
        <v>27223059.449999999</v>
      </c>
      <c r="K115" s="534">
        <f t="shared" si="24"/>
        <v>0.9906861667515573</v>
      </c>
      <c r="L115" s="528">
        <v>255934.77</v>
      </c>
      <c r="M115" s="560">
        <f t="shared" si="25"/>
        <v>9.3138332484426715E-3</v>
      </c>
      <c r="N115" s="522">
        <f t="shared" si="41"/>
        <v>27478994.219999999</v>
      </c>
      <c r="O115" s="661">
        <f t="shared" si="26"/>
        <v>346.17534952329225</v>
      </c>
    </row>
    <row r="116" spans="1:15" ht="15.6" hidden="1" customHeight="1" outlineLevel="1" x14ac:dyDescent="0.25">
      <c r="A116" s="503">
        <v>2004</v>
      </c>
      <c r="B116" s="504" t="s">
        <v>23</v>
      </c>
      <c r="C116" s="505">
        <v>69500</v>
      </c>
      <c r="D116" s="505">
        <v>61119</v>
      </c>
      <c r="E116" s="511">
        <v>60581.24</v>
      </c>
      <c r="F116" s="534">
        <f t="shared" si="35"/>
        <v>1</v>
      </c>
      <c r="G116" s="512">
        <v>0</v>
      </c>
      <c r="H116" s="534">
        <f t="shared" si="36"/>
        <v>0</v>
      </c>
      <c r="I116" s="518">
        <f t="shared" si="37"/>
        <v>60581.24</v>
      </c>
      <c r="J116" s="527">
        <v>22157181.18</v>
      </c>
      <c r="K116" s="534">
        <f t="shared" si="24"/>
        <v>1</v>
      </c>
      <c r="L116" s="528">
        <v>0</v>
      </c>
      <c r="M116" s="560">
        <f t="shared" si="25"/>
        <v>0</v>
      </c>
      <c r="N116" s="522">
        <f t="shared" si="41"/>
        <v>22157181.18</v>
      </c>
      <c r="O116" s="661">
        <f t="shared" si="26"/>
        <v>365.74327597124125</v>
      </c>
    </row>
    <row r="117" spans="1:15" ht="15.6" hidden="1" customHeight="1" outlineLevel="1" x14ac:dyDescent="0.25">
      <c r="A117" s="503">
        <v>2004</v>
      </c>
      <c r="B117" s="504" t="s">
        <v>24</v>
      </c>
      <c r="C117" s="505">
        <v>68010</v>
      </c>
      <c r="D117" s="505">
        <v>68806</v>
      </c>
      <c r="E117" s="511">
        <v>54070.63</v>
      </c>
      <c r="F117" s="534">
        <f t="shared" si="35"/>
        <v>0.9951835298032552</v>
      </c>
      <c r="G117" s="512">
        <v>261.69</v>
      </c>
      <c r="H117" s="534">
        <f t="shared" si="36"/>
        <v>4.8164701967447739E-3</v>
      </c>
      <c r="I117" s="518">
        <f t="shared" si="37"/>
        <v>54332.32</v>
      </c>
      <c r="J117" s="527">
        <v>13551539.359999999</v>
      </c>
      <c r="K117" s="534">
        <f t="shared" si="24"/>
        <v>0.99612603838726133</v>
      </c>
      <c r="L117" s="528">
        <v>52702.31</v>
      </c>
      <c r="M117" s="560">
        <f t="shared" si="25"/>
        <v>3.8739616127386831E-3</v>
      </c>
      <c r="N117" s="522">
        <f t="shared" si="41"/>
        <v>13604241.67</v>
      </c>
      <c r="O117" s="661">
        <f t="shared" si="26"/>
        <v>250.38948585298769</v>
      </c>
    </row>
    <row r="118" spans="1:15" ht="15.6" hidden="1" customHeight="1" outlineLevel="1" x14ac:dyDescent="0.25">
      <c r="A118" s="503">
        <v>2004</v>
      </c>
      <c r="B118" s="504" t="s">
        <v>25</v>
      </c>
      <c r="C118" s="505">
        <v>28500</v>
      </c>
      <c r="D118" s="505">
        <v>33324</v>
      </c>
      <c r="E118" s="511">
        <v>1073.3499999999999</v>
      </c>
      <c r="F118" s="534">
        <f t="shared" si="35"/>
        <v>3.7153392784761624E-2</v>
      </c>
      <c r="G118" s="512">
        <v>27816.34</v>
      </c>
      <c r="H118" s="534">
        <f t="shared" si="36"/>
        <v>0.9628466072152384</v>
      </c>
      <c r="I118" s="518">
        <f t="shared" si="37"/>
        <v>28889.69</v>
      </c>
      <c r="J118" s="527">
        <v>451540.64</v>
      </c>
      <c r="K118" s="534">
        <f t="shared" si="24"/>
        <v>3.3996855278027115E-2</v>
      </c>
      <c r="L118" s="528">
        <v>12830294.880000001</v>
      </c>
      <c r="M118" s="560">
        <f t="shared" si="25"/>
        <v>0.9660031447219728</v>
      </c>
      <c r="N118" s="522">
        <f t="shared" si="41"/>
        <v>13281835.520000001</v>
      </c>
      <c r="O118" s="661">
        <f t="shared" si="26"/>
        <v>459.74309589337935</v>
      </c>
    </row>
    <row r="119" spans="1:15" ht="15.6" hidden="1" customHeight="1" outlineLevel="1" x14ac:dyDescent="0.25">
      <c r="A119" s="503">
        <v>2004</v>
      </c>
      <c r="B119" s="504" t="s">
        <v>26</v>
      </c>
      <c r="C119" s="505">
        <v>2190</v>
      </c>
      <c r="D119" s="505">
        <v>960</v>
      </c>
      <c r="E119" s="511">
        <v>0</v>
      </c>
      <c r="F119" s="534">
        <f t="shared" si="35"/>
        <v>0</v>
      </c>
      <c r="G119" s="512">
        <v>1246.98</v>
      </c>
      <c r="H119" s="534">
        <f t="shared" si="36"/>
        <v>1</v>
      </c>
      <c r="I119" s="518">
        <f t="shared" si="37"/>
        <v>1246.98</v>
      </c>
      <c r="J119" s="527">
        <v>0</v>
      </c>
      <c r="K119" s="534">
        <f t="shared" si="24"/>
        <v>0</v>
      </c>
      <c r="L119" s="528">
        <v>394007.34</v>
      </c>
      <c r="M119" s="560">
        <f t="shared" si="25"/>
        <v>1</v>
      </c>
      <c r="N119" s="522">
        <f t="shared" si="41"/>
        <v>394007.34</v>
      </c>
      <c r="O119" s="661">
        <f t="shared" si="26"/>
        <v>315.96925371698023</v>
      </c>
    </row>
    <row r="120" spans="1:15" ht="15.6" hidden="1" customHeight="1" outlineLevel="1" thickBot="1" x14ac:dyDescent="0.3">
      <c r="A120" s="506">
        <v>2004</v>
      </c>
      <c r="B120" s="507" t="s">
        <v>27</v>
      </c>
      <c r="C120" s="508">
        <v>11900</v>
      </c>
      <c r="D120" s="508">
        <v>18261</v>
      </c>
      <c r="E120" s="513">
        <v>2181.2199999999998</v>
      </c>
      <c r="F120" s="535">
        <f t="shared" si="35"/>
        <v>1</v>
      </c>
      <c r="G120" s="514">
        <v>0</v>
      </c>
      <c r="H120" s="535">
        <f t="shared" si="36"/>
        <v>0</v>
      </c>
      <c r="I120" s="519">
        <f t="shared" si="37"/>
        <v>2181.2199999999998</v>
      </c>
      <c r="J120" s="529">
        <v>385164.02</v>
      </c>
      <c r="K120" s="535">
        <f t="shared" si="24"/>
        <v>1</v>
      </c>
      <c r="L120" s="530">
        <v>0</v>
      </c>
      <c r="M120" s="561">
        <f t="shared" si="25"/>
        <v>0</v>
      </c>
      <c r="N120" s="523">
        <f t="shared" si="41"/>
        <v>385164.02</v>
      </c>
      <c r="O120" s="662">
        <f t="shared" si="26"/>
        <v>176.58192204362697</v>
      </c>
    </row>
    <row r="121" spans="1:15" ht="13.2" customHeight="1" collapsed="1" thickTop="1" thickBot="1" x14ac:dyDescent="0.3">
      <c r="A121" s="564">
        <f>+A120</f>
        <v>2004</v>
      </c>
      <c r="B121" s="565" t="s">
        <v>28</v>
      </c>
      <c r="C121" s="566">
        <f>SUM(C112:C120)</f>
        <v>294567</v>
      </c>
      <c r="D121" s="566">
        <f>SUM(D112:D120)</f>
        <v>305915</v>
      </c>
      <c r="E121" s="515">
        <f t="shared" ref="E121:N121" si="42">SUM(E112:E120)</f>
        <v>239385.74000000002</v>
      </c>
      <c r="F121" s="533">
        <f t="shared" si="35"/>
        <v>0.88071310665625913</v>
      </c>
      <c r="G121" s="516">
        <f t="shared" si="42"/>
        <v>32423.25</v>
      </c>
      <c r="H121" s="558">
        <f t="shared" si="36"/>
        <v>0.11928689334374117</v>
      </c>
      <c r="I121" s="520">
        <f t="shared" si="42"/>
        <v>271808.98999999993</v>
      </c>
      <c r="J121" s="531">
        <f t="shared" si="42"/>
        <v>81104303.530000001</v>
      </c>
      <c r="K121" s="533">
        <f t="shared" si="24"/>
        <v>0.85085700068023273</v>
      </c>
      <c r="L121" s="532">
        <f t="shared" si="42"/>
        <v>14216418.360000001</v>
      </c>
      <c r="M121" s="562">
        <f t="shared" si="25"/>
        <v>0.14914299931976732</v>
      </c>
      <c r="N121" s="524">
        <f t="shared" si="42"/>
        <v>95320721.890000001</v>
      </c>
      <c r="O121" s="663">
        <f t="shared" si="26"/>
        <v>350.69010002207807</v>
      </c>
    </row>
    <row r="122" spans="1:15" ht="15.6" hidden="1" customHeight="1" outlineLevel="1" thickTop="1" x14ac:dyDescent="0.25">
      <c r="A122" s="500">
        <v>2005</v>
      </c>
      <c r="B122" s="501" t="s">
        <v>20</v>
      </c>
      <c r="C122" s="502">
        <v>9900</v>
      </c>
      <c r="D122" s="502">
        <v>13134</v>
      </c>
      <c r="E122" s="509">
        <v>12924.87</v>
      </c>
      <c r="F122" s="541">
        <f>IF(E122=0,0,+E122/$I122)</f>
        <v>0.83544507531685819</v>
      </c>
      <c r="G122" s="510">
        <v>2545.77</v>
      </c>
      <c r="H122" s="541">
        <f>IF(G122=0,0,+G122/$I122)</f>
        <v>0.16455492468314173</v>
      </c>
      <c r="I122" s="517">
        <f t="shared" si="37"/>
        <v>15470.640000000001</v>
      </c>
      <c r="J122" s="525">
        <v>4479939.2300000004</v>
      </c>
      <c r="K122" s="541">
        <f t="shared" si="24"/>
        <v>0.84456137551112964</v>
      </c>
      <c r="L122" s="526">
        <v>824517.45</v>
      </c>
      <c r="M122" s="559">
        <f t="shared" si="25"/>
        <v>0.15543862448887033</v>
      </c>
      <c r="N122" s="521">
        <f t="shared" ref="N122:N130" si="43">J122+L122</f>
        <v>5304456.6800000006</v>
      </c>
      <c r="O122" s="664">
        <f t="shared" si="26"/>
        <v>342.87247844950178</v>
      </c>
    </row>
    <row r="123" spans="1:15" ht="15.6" hidden="1" customHeight="1" outlineLevel="1" x14ac:dyDescent="0.25">
      <c r="A123" s="503">
        <v>2005</v>
      </c>
      <c r="B123" s="504" t="s">
        <v>41</v>
      </c>
      <c r="C123" s="505">
        <v>20120</v>
      </c>
      <c r="D123" s="505">
        <v>23487</v>
      </c>
      <c r="E123" s="511">
        <v>35979.17</v>
      </c>
      <c r="F123" s="534">
        <f t="shared" si="35"/>
        <v>1</v>
      </c>
      <c r="G123" s="512"/>
      <c r="H123" s="534">
        <f t="shared" si="36"/>
        <v>0</v>
      </c>
      <c r="I123" s="518">
        <f t="shared" si="37"/>
        <v>35979.17</v>
      </c>
      <c r="J123" s="527">
        <v>15262547.1</v>
      </c>
      <c r="K123" s="534">
        <f t="shared" si="24"/>
        <v>1</v>
      </c>
      <c r="L123" s="528"/>
      <c r="M123" s="560">
        <f t="shared" si="25"/>
        <v>0</v>
      </c>
      <c r="N123" s="522">
        <f t="shared" si="43"/>
        <v>15262547.1</v>
      </c>
      <c r="O123" s="661">
        <f t="shared" si="26"/>
        <v>424.20509144596724</v>
      </c>
    </row>
    <row r="124" spans="1:15" ht="15.6" hidden="1" customHeight="1" outlineLevel="1" x14ac:dyDescent="0.25">
      <c r="A124" s="503">
        <v>2005</v>
      </c>
      <c r="B124" s="504" t="s">
        <v>21</v>
      </c>
      <c r="C124" s="505">
        <v>6670</v>
      </c>
      <c r="D124" s="505">
        <v>7189</v>
      </c>
      <c r="E124" s="511">
        <v>12247.03</v>
      </c>
      <c r="F124" s="534">
        <f t="shared" si="35"/>
        <v>1</v>
      </c>
      <c r="G124" s="512">
        <v>0</v>
      </c>
      <c r="H124" s="534">
        <f t="shared" si="36"/>
        <v>0</v>
      </c>
      <c r="I124" s="518">
        <f t="shared" si="37"/>
        <v>12247.03</v>
      </c>
      <c r="J124" s="527">
        <v>4747610.54</v>
      </c>
      <c r="K124" s="534">
        <f t="shared" si="24"/>
        <v>1</v>
      </c>
      <c r="L124" s="528">
        <v>0</v>
      </c>
      <c r="M124" s="560">
        <f t="shared" si="25"/>
        <v>0</v>
      </c>
      <c r="N124" s="522">
        <f t="shared" si="43"/>
        <v>4747610.54</v>
      </c>
      <c r="O124" s="661">
        <f t="shared" si="26"/>
        <v>387.65403040573915</v>
      </c>
    </row>
    <row r="125" spans="1:15" ht="15.6" hidden="1" customHeight="1" outlineLevel="1" x14ac:dyDescent="0.25">
      <c r="A125" s="503">
        <v>2005</v>
      </c>
      <c r="B125" s="504" t="s">
        <v>22</v>
      </c>
      <c r="C125" s="505">
        <v>70912</v>
      </c>
      <c r="D125" s="505">
        <v>65873</v>
      </c>
      <c r="E125" s="511">
        <v>84803.87</v>
      </c>
      <c r="F125" s="534">
        <f t="shared" si="35"/>
        <v>0.99090790013179175</v>
      </c>
      <c r="G125" s="512">
        <v>778.12</v>
      </c>
      <c r="H125" s="534">
        <f t="shared" si="36"/>
        <v>9.0920998682082529E-3</v>
      </c>
      <c r="I125" s="518">
        <f t="shared" si="37"/>
        <v>85581.989999999991</v>
      </c>
      <c r="J125" s="527">
        <v>23713823.390000001</v>
      </c>
      <c r="K125" s="534">
        <f t="shared" si="24"/>
        <v>0.99337013575498889</v>
      </c>
      <c r="L125" s="528">
        <v>158268.73000000001</v>
      </c>
      <c r="M125" s="560">
        <f t="shared" si="25"/>
        <v>6.6298642450111321E-3</v>
      </c>
      <c r="N125" s="522">
        <f t="shared" si="43"/>
        <v>23872092.120000001</v>
      </c>
      <c r="O125" s="661">
        <f t="shared" si="26"/>
        <v>278.93826867077996</v>
      </c>
    </row>
    <row r="126" spans="1:15" ht="15.6" hidden="1" customHeight="1" outlineLevel="1" x14ac:dyDescent="0.25">
      <c r="A126" s="503">
        <v>2005</v>
      </c>
      <c r="B126" s="504" t="s">
        <v>23</v>
      </c>
      <c r="C126" s="505">
        <v>55400</v>
      </c>
      <c r="D126" s="505">
        <v>48730</v>
      </c>
      <c r="E126" s="511">
        <v>55798.52</v>
      </c>
      <c r="F126" s="534">
        <f t="shared" si="35"/>
        <v>1</v>
      </c>
      <c r="G126" s="512">
        <v>0</v>
      </c>
      <c r="H126" s="534">
        <f t="shared" si="36"/>
        <v>0</v>
      </c>
      <c r="I126" s="518">
        <f t="shared" si="37"/>
        <v>55798.52</v>
      </c>
      <c r="J126" s="527">
        <v>21720742.559999999</v>
      </c>
      <c r="K126" s="534">
        <f t="shared" si="24"/>
        <v>1</v>
      </c>
      <c r="L126" s="528">
        <v>0</v>
      </c>
      <c r="M126" s="560">
        <f t="shared" si="25"/>
        <v>0</v>
      </c>
      <c r="N126" s="522">
        <f t="shared" si="43"/>
        <v>21720742.559999999</v>
      </c>
      <c r="O126" s="661">
        <f t="shared" si="26"/>
        <v>389.27094410389378</v>
      </c>
    </row>
    <row r="127" spans="1:15" ht="15.6" hidden="1" customHeight="1" outlineLevel="1" x14ac:dyDescent="0.25">
      <c r="A127" s="503">
        <v>2005</v>
      </c>
      <c r="B127" s="504" t="s">
        <v>24</v>
      </c>
      <c r="C127" s="505">
        <v>67228</v>
      </c>
      <c r="D127" s="505">
        <v>54796</v>
      </c>
      <c r="E127" s="511">
        <v>62162.67</v>
      </c>
      <c r="F127" s="534">
        <f t="shared" si="35"/>
        <v>0.99994675544405476</v>
      </c>
      <c r="G127" s="512">
        <v>3.31</v>
      </c>
      <c r="H127" s="534">
        <f t="shared" si="36"/>
        <v>5.3244555945229211E-5</v>
      </c>
      <c r="I127" s="518">
        <f t="shared" si="37"/>
        <v>62165.979999999996</v>
      </c>
      <c r="J127" s="527">
        <v>16078156.84</v>
      </c>
      <c r="K127" s="534">
        <f t="shared" si="24"/>
        <v>0.9999743310498822</v>
      </c>
      <c r="L127" s="528">
        <v>412.72</v>
      </c>
      <c r="M127" s="560">
        <f t="shared" si="25"/>
        <v>2.5668950117724279E-5</v>
      </c>
      <c r="N127" s="522">
        <f t="shared" si="43"/>
        <v>16078569.560000001</v>
      </c>
      <c r="O127" s="661">
        <f t="shared" si="26"/>
        <v>258.63936448842281</v>
      </c>
    </row>
    <row r="128" spans="1:15" ht="15.6" hidden="1" customHeight="1" outlineLevel="1" x14ac:dyDescent="0.25">
      <c r="A128" s="503">
        <v>2005</v>
      </c>
      <c r="B128" s="504" t="s">
        <v>25</v>
      </c>
      <c r="C128" s="505">
        <v>24402</v>
      </c>
      <c r="D128" s="505">
        <v>31272</v>
      </c>
      <c r="E128" s="511">
        <v>338.48</v>
      </c>
      <c r="F128" s="534">
        <f t="shared" si="35"/>
        <v>1.0170294135675233E-2</v>
      </c>
      <c r="G128" s="512">
        <v>32942.76</v>
      </c>
      <c r="H128" s="534">
        <f t="shared" si="36"/>
        <v>0.98982970586432473</v>
      </c>
      <c r="I128" s="518">
        <f t="shared" si="37"/>
        <v>33281.240000000005</v>
      </c>
      <c r="J128" s="527">
        <v>97257.03</v>
      </c>
      <c r="K128" s="534">
        <f t="shared" si="24"/>
        <v>5.3319290104130298E-3</v>
      </c>
      <c r="L128" s="528">
        <v>18143239.010000002</v>
      </c>
      <c r="M128" s="560">
        <f t="shared" si="25"/>
        <v>0.99466807098958687</v>
      </c>
      <c r="N128" s="522">
        <f t="shared" si="43"/>
        <v>18240496.040000003</v>
      </c>
      <c r="O128" s="661">
        <f t="shared" si="26"/>
        <v>548.07140719516462</v>
      </c>
    </row>
    <row r="129" spans="1:15" ht="15.6" hidden="1" customHeight="1" outlineLevel="1" x14ac:dyDescent="0.25">
      <c r="A129" s="503">
        <v>2005</v>
      </c>
      <c r="B129" s="504" t="s">
        <v>26</v>
      </c>
      <c r="C129" s="505">
        <v>500</v>
      </c>
      <c r="D129" s="505">
        <v>1039</v>
      </c>
      <c r="E129" s="511">
        <v>0</v>
      </c>
      <c r="F129" s="534">
        <f t="shared" si="35"/>
        <v>0</v>
      </c>
      <c r="G129" s="512">
        <v>1396.31</v>
      </c>
      <c r="H129" s="534">
        <f t="shared" si="36"/>
        <v>1</v>
      </c>
      <c r="I129" s="518">
        <f t="shared" si="37"/>
        <v>1396.31</v>
      </c>
      <c r="J129" s="527">
        <v>0</v>
      </c>
      <c r="K129" s="534">
        <f t="shared" si="24"/>
        <v>0</v>
      </c>
      <c r="L129" s="528">
        <v>200123.2</v>
      </c>
      <c r="M129" s="560">
        <f t="shared" si="25"/>
        <v>1</v>
      </c>
      <c r="N129" s="522">
        <f t="shared" si="43"/>
        <v>200123.2</v>
      </c>
      <c r="O129" s="661">
        <f t="shared" si="26"/>
        <v>143.32290107497622</v>
      </c>
    </row>
    <row r="130" spans="1:15" ht="15.6" hidden="1" customHeight="1" outlineLevel="1" thickBot="1" x14ac:dyDescent="0.3">
      <c r="A130" s="506">
        <v>2005</v>
      </c>
      <c r="B130" s="507" t="s">
        <v>27</v>
      </c>
      <c r="C130" s="508">
        <v>7388</v>
      </c>
      <c r="D130" s="508">
        <v>1162</v>
      </c>
      <c r="E130" s="513">
        <v>17350.37</v>
      </c>
      <c r="F130" s="535">
        <f t="shared" si="35"/>
        <v>0.79623624628736955</v>
      </c>
      <c r="G130" s="514">
        <v>4440.1099999999997</v>
      </c>
      <c r="H130" s="535">
        <f t="shared" si="36"/>
        <v>0.20376375371263045</v>
      </c>
      <c r="I130" s="519">
        <f t="shared" ref="I130:I181" si="44">E130+G130</f>
        <v>21790.48</v>
      </c>
      <c r="J130" s="529">
        <v>3442189.34</v>
      </c>
      <c r="K130" s="535">
        <f t="shared" ref="K130:K193" si="45">IF(J130=0,0,+J130/$N130)</f>
        <v>0.8203891604849165</v>
      </c>
      <c r="L130" s="530">
        <v>753611.27</v>
      </c>
      <c r="M130" s="561">
        <f t="shared" ref="M130:M193" si="46">IF(L130=0,0,+L130/$N130)</f>
        <v>0.17961083951508366</v>
      </c>
      <c r="N130" s="523">
        <f t="shared" si="43"/>
        <v>4195800.6099999994</v>
      </c>
      <c r="O130" s="662">
        <f t="shared" si="26"/>
        <v>192.55200482045367</v>
      </c>
    </row>
    <row r="131" spans="1:15" ht="14.4" collapsed="1" thickTop="1" thickBot="1" x14ac:dyDescent="0.3">
      <c r="A131" s="564">
        <f>+A130</f>
        <v>2005</v>
      </c>
      <c r="B131" s="565" t="s">
        <v>28</v>
      </c>
      <c r="C131" s="566">
        <f>SUM(C122:C130)</f>
        <v>262520</v>
      </c>
      <c r="D131" s="566">
        <f>SUM(D122:D130)</f>
        <v>246682</v>
      </c>
      <c r="E131" s="515">
        <f t="shared" ref="E131:N131" si="47">SUM(E122:E130)</f>
        <v>281604.98</v>
      </c>
      <c r="F131" s="533">
        <f t="shared" si="35"/>
        <v>0.86992615890897385</v>
      </c>
      <c r="G131" s="516">
        <f t="shared" si="47"/>
        <v>42106.38</v>
      </c>
      <c r="H131" s="558">
        <f t="shared" si="36"/>
        <v>0.13007384109102629</v>
      </c>
      <c r="I131" s="520">
        <f t="shared" si="47"/>
        <v>323711.35999999993</v>
      </c>
      <c r="J131" s="531">
        <f t="shared" si="47"/>
        <v>89542266.030000001</v>
      </c>
      <c r="K131" s="533">
        <f t="shared" si="45"/>
        <v>0.81682424993231817</v>
      </c>
      <c r="L131" s="532">
        <f t="shared" si="47"/>
        <v>20080172.379999999</v>
      </c>
      <c r="M131" s="562">
        <f t="shared" si="46"/>
        <v>0.18317575006768175</v>
      </c>
      <c r="N131" s="524">
        <f t="shared" si="47"/>
        <v>109622438.41000001</v>
      </c>
      <c r="O131" s="663">
        <f t="shared" ref="O131:O194" si="48">+IF(I131=0,0,N131/I131)</f>
        <v>338.64254380816305</v>
      </c>
    </row>
    <row r="132" spans="1:15" ht="15.6" hidden="1" customHeight="1" outlineLevel="1" thickTop="1" x14ac:dyDescent="0.25">
      <c r="A132" s="500">
        <v>2006</v>
      </c>
      <c r="B132" s="501" t="s">
        <v>20</v>
      </c>
      <c r="C132" s="502">
        <v>9800</v>
      </c>
      <c r="D132" s="502">
        <v>16103</v>
      </c>
      <c r="E132" s="509">
        <v>12036.19</v>
      </c>
      <c r="F132" s="541">
        <f>IF(E132=0,0,+E132/$I132)</f>
        <v>0.8729803219880079</v>
      </c>
      <c r="G132" s="510">
        <v>1751.28</v>
      </c>
      <c r="H132" s="541">
        <f>IF(G132=0,0,+G132/$I132)</f>
        <v>0.12701967801199204</v>
      </c>
      <c r="I132" s="517">
        <f t="shared" si="44"/>
        <v>13787.470000000001</v>
      </c>
      <c r="J132" s="525">
        <v>4995148.1399999997</v>
      </c>
      <c r="K132" s="541">
        <f t="shared" si="45"/>
        <v>0.92075866826411257</v>
      </c>
      <c r="L132" s="526">
        <v>429887.01</v>
      </c>
      <c r="M132" s="559">
        <f t="shared" si="46"/>
        <v>7.9241331735887474E-2</v>
      </c>
      <c r="N132" s="521">
        <f t="shared" ref="N132:N160" si="49">J132+L132</f>
        <v>5425035.1499999994</v>
      </c>
      <c r="O132" s="664">
        <f t="shared" si="48"/>
        <v>393.47575370970884</v>
      </c>
    </row>
    <row r="133" spans="1:15" ht="15.6" hidden="1" customHeight="1" outlineLevel="1" x14ac:dyDescent="0.25">
      <c r="A133" s="503">
        <v>2006</v>
      </c>
      <c r="B133" s="504" t="s">
        <v>41</v>
      </c>
      <c r="C133" s="505">
        <v>23250</v>
      </c>
      <c r="D133" s="505">
        <v>23565</v>
      </c>
      <c r="E133" s="511">
        <v>25833.06</v>
      </c>
      <c r="F133" s="534">
        <f t="shared" si="35"/>
        <v>0.98172900648480044</v>
      </c>
      <c r="G133" s="512">
        <v>480.78</v>
      </c>
      <c r="H133" s="534">
        <f t="shared" si="36"/>
        <v>1.8270993515199604E-2</v>
      </c>
      <c r="I133" s="518">
        <f t="shared" si="44"/>
        <v>26313.84</v>
      </c>
      <c r="J133" s="527">
        <v>12338097</v>
      </c>
      <c r="K133" s="534">
        <f t="shared" si="45"/>
        <v>0.98620900896205799</v>
      </c>
      <c r="L133" s="528">
        <v>172534</v>
      </c>
      <c r="M133" s="560">
        <f t="shared" si="46"/>
        <v>1.3790991037942051E-2</v>
      </c>
      <c r="N133" s="522">
        <f t="shared" si="49"/>
        <v>12510631</v>
      </c>
      <c r="O133" s="661">
        <f t="shared" si="48"/>
        <v>475.43919853582753</v>
      </c>
    </row>
    <row r="134" spans="1:15" ht="15.6" hidden="1" customHeight="1" outlineLevel="1" x14ac:dyDescent="0.25">
      <c r="A134" s="503">
        <v>2006</v>
      </c>
      <c r="B134" s="504" t="s">
        <v>21</v>
      </c>
      <c r="C134" s="505">
        <v>10630</v>
      </c>
      <c r="D134" s="505">
        <v>7036</v>
      </c>
      <c r="E134" s="511">
        <v>7415.76</v>
      </c>
      <c r="F134" s="534">
        <f t="shared" si="35"/>
        <v>1</v>
      </c>
      <c r="G134" s="512">
        <v>0</v>
      </c>
      <c r="H134" s="534">
        <f t="shared" si="36"/>
        <v>0</v>
      </c>
      <c r="I134" s="518">
        <f t="shared" si="44"/>
        <v>7415.76</v>
      </c>
      <c r="J134" s="527">
        <v>3479016.11</v>
      </c>
      <c r="K134" s="534">
        <f t="shared" si="45"/>
        <v>1</v>
      </c>
      <c r="L134" s="528">
        <v>0</v>
      </c>
      <c r="M134" s="560">
        <f t="shared" si="46"/>
        <v>0</v>
      </c>
      <c r="N134" s="522">
        <f t="shared" si="49"/>
        <v>3479016.11</v>
      </c>
      <c r="O134" s="661">
        <f t="shared" si="48"/>
        <v>469.13817464427109</v>
      </c>
    </row>
    <row r="135" spans="1:15" ht="15.6" hidden="1" customHeight="1" outlineLevel="1" x14ac:dyDescent="0.25">
      <c r="A135" s="503">
        <v>2006</v>
      </c>
      <c r="B135" s="504" t="s">
        <v>22</v>
      </c>
      <c r="C135" s="505">
        <v>75902</v>
      </c>
      <c r="D135" s="505">
        <v>79583</v>
      </c>
      <c r="E135" s="511">
        <v>82894.179999999993</v>
      </c>
      <c r="F135" s="534">
        <f t="shared" si="35"/>
        <v>0.99926659049687416</v>
      </c>
      <c r="G135" s="512">
        <v>60.84</v>
      </c>
      <c r="H135" s="534">
        <f t="shared" si="36"/>
        <v>7.3340950312591102E-4</v>
      </c>
      <c r="I135" s="518">
        <f t="shared" si="44"/>
        <v>82955.01999999999</v>
      </c>
      <c r="J135" s="527">
        <v>30156679.670000002</v>
      </c>
      <c r="K135" s="534">
        <f t="shared" si="45"/>
        <v>0.9991340672111364</v>
      </c>
      <c r="L135" s="528">
        <v>26136.29</v>
      </c>
      <c r="M135" s="560">
        <f t="shared" si="46"/>
        <v>8.65932788863614E-4</v>
      </c>
      <c r="N135" s="522">
        <f t="shared" si="49"/>
        <v>30182815.960000001</v>
      </c>
      <c r="O135" s="661">
        <f t="shared" si="48"/>
        <v>363.84556305332706</v>
      </c>
    </row>
    <row r="136" spans="1:15" ht="15.6" hidden="1" customHeight="1" outlineLevel="1" x14ac:dyDescent="0.25">
      <c r="A136" s="503">
        <v>2006</v>
      </c>
      <c r="B136" s="504" t="s">
        <v>23</v>
      </c>
      <c r="C136" s="505">
        <v>76300</v>
      </c>
      <c r="D136" s="505">
        <v>64722</v>
      </c>
      <c r="E136" s="511">
        <v>69028.100000000006</v>
      </c>
      <c r="F136" s="534">
        <f t="shared" si="35"/>
        <v>1</v>
      </c>
      <c r="G136" s="512">
        <v>0</v>
      </c>
      <c r="H136" s="534">
        <f t="shared" si="36"/>
        <v>0</v>
      </c>
      <c r="I136" s="518">
        <f t="shared" si="44"/>
        <v>69028.100000000006</v>
      </c>
      <c r="J136" s="527">
        <v>29337709.899999999</v>
      </c>
      <c r="K136" s="534">
        <f t="shared" si="45"/>
        <v>1</v>
      </c>
      <c r="L136" s="528">
        <v>0</v>
      </c>
      <c r="M136" s="560">
        <f t="shared" si="46"/>
        <v>0</v>
      </c>
      <c r="N136" s="522">
        <f t="shared" si="49"/>
        <v>29337709.899999999</v>
      </c>
      <c r="O136" s="661">
        <f t="shared" si="48"/>
        <v>425.01111721168621</v>
      </c>
    </row>
    <row r="137" spans="1:15" ht="15.6" hidden="1" customHeight="1" outlineLevel="1" x14ac:dyDescent="0.25">
      <c r="A137" s="503">
        <v>2006</v>
      </c>
      <c r="B137" s="504" t="s">
        <v>24</v>
      </c>
      <c r="C137" s="505">
        <v>90430</v>
      </c>
      <c r="D137" s="505">
        <v>76918</v>
      </c>
      <c r="E137" s="511">
        <v>72240.95</v>
      </c>
      <c r="F137" s="534">
        <f t="shared" si="35"/>
        <v>0.98973749969345126</v>
      </c>
      <c r="G137" s="512">
        <v>749.06</v>
      </c>
      <c r="H137" s="534">
        <f t="shared" si="36"/>
        <v>1.0262500306548801E-2</v>
      </c>
      <c r="I137" s="518">
        <f t="shared" si="44"/>
        <v>72990.009999999995</v>
      </c>
      <c r="J137" s="527">
        <v>20748564.390000001</v>
      </c>
      <c r="K137" s="534">
        <f t="shared" si="45"/>
        <v>0.98888444572356426</v>
      </c>
      <c r="L137" s="528">
        <v>233224.21</v>
      </c>
      <c r="M137" s="560">
        <f t="shared" si="46"/>
        <v>1.1115554276435707E-2</v>
      </c>
      <c r="N137" s="522">
        <f t="shared" si="49"/>
        <v>20981788.600000001</v>
      </c>
      <c r="O137" s="661">
        <f t="shared" si="48"/>
        <v>287.46110049854769</v>
      </c>
    </row>
    <row r="138" spans="1:15" ht="15.6" hidden="1" customHeight="1" outlineLevel="1" x14ac:dyDescent="0.25">
      <c r="A138" s="503">
        <v>2006</v>
      </c>
      <c r="B138" s="504" t="s">
        <v>25</v>
      </c>
      <c r="C138" s="505">
        <v>24538</v>
      </c>
      <c r="D138" s="505">
        <v>31178</v>
      </c>
      <c r="E138" s="511">
        <v>1707.82</v>
      </c>
      <c r="F138" s="534">
        <f t="shared" si="35"/>
        <v>0.13355908344412293</v>
      </c>
      <c r="G138" s="512">
        <v>11079.18</v>
      </c>
      <c r="H138" s="534">
        <f t="shared" si="36"/>
        <v>0.86644091655587707</v>
      </c>
      <c r="I138" s="518">
        <f t="shared" si="44"/>
        <v>12787</v>
      </c>
      <c r="J138" s="527">
        <v>841044.51</v>
      </c>
      <c r="K138" s="534">
        <f t="shared" si="45"/>
        <v>0.12347854823004258</v>
      </c>
      <c r="L138" s="528">
        <v>5970215.5999999996</v>
      </c>
      <c r="M138" s="560">
        <f t="shared" si="46"/>
        <v>0.87652145176995744</v>
      </c>
      <c r="N138" s="522">
        <f t="shared" si="49"/>
        <v>6811260.1099999994</v>
      </c>
      <c r="O138" s="661">
        <f t="shared" si="48"/>
        <v>532.67068976304051</v>
      </c>
    </row>
    <row r="139" spans="1:15" ht="15.6" hidden="1" customHeight="1" outlineLevel="1" x14ac:dyDescent="0.25">
      <c r="A139" s="503">
        <v>2006</v>
      </c>
      <c r="B139" s="504" t="s">
        <v>26</v>
      </c>
      <c r="C139" s="505">
        <v>4305</v>
      </c>
      <c r="D139" s="505">
        <v>1406</v>
      </c>
      <c r="E139" s="511">
        <v>1243.33</v>
      </c>
      <c r="F139" s="534">
        <f t="shared" si="35"/>
        <v>1</v>
      </c>
      <c r="G139" s="512">
        <v>0</v>
      </c>
      <c r="H139" s="534">
        <f t="shared" si="36"/>
        <v>0</v>
      </c>
      <c r="I139" s="518">
        <f t="shared" si="44"/>
        <v>1243.33</v>
      </c>
      <c r="J139" s="527">
        <v>332474.15000000002</v>
      </c>
      <c r="K139" s="534">
        <f t="shared" si="45"/>
        <v>1</v>
      </c>
      <c r="L139" s="528">
        <v>0</v>
      </c>
      <c r="M139" s="560">
        <f t="shared" si="46"/>
        <v>0</v>
      </c>
      <c r="N139" s="522">
        <f t="shared" si="49"/>
        <v>332474.15000000002</v>
      </c>
      <c r="O139" s="661">
        <f t="shared" si="48"/>
        <v>267.40619948042757</v>
      </c>
    </row>
    <row r="140" spans="1:15" ht="15.6" hidden="1" customHeight="1" outlineLevel="1" thickBot="1" x14ac:dyDescent="0.3">
      <c r="A140" s="506">
        <v>2006</v>
      </c>
      <c r="B140" s="507" t="s">
        <v>27</v>
      </c>
      <c r="C140" s="508">
        <v>7200</v>
      </c>
      <c r="D140" s="508">
        <v>11275</v>
      </c>
      <c r="E140" s="513">
        <v>4508.95</v>
      </c>
      <c r="F140" s="535">
        <f t="shared" si="35"/>
        <v>0.54848935670693511</v>
      </c>
      <c r="G140" s="514">
        <v>3711.72</v>
      </c>
      <c r="H140" s="535">
        <f t="shared" si="36"/>
        <v>0.45151064329306489</v>
      </c>
      <c r="I140" s="519">
        <f t="shared" si="44"/>
        <v>8220.67</v>
      </c>
      <c r="J140" s="529">
        <v>922109.4</v>
      </c>
      <c r="K140" s="535">
        <f t="shared" si="45"/>
        <v>0.54249068353376417</v>
      </c>
      <c r="L140" s="530">
        <v>777660.62</v>
      </c>
      <c r="M140" s="561">
        <f t="shared" si="46"/>
        <v>0.45750931646623583</v>
      </c>
      <c r="N140" s="523">
        <f t="shared" si="49"/>
        <v>1699770.02</v>
      </c>
      <c r="O140" s="662">
        <f t="shared" si="48"/>
        <v>206.76782062775905</v>
      </c>
    </row>
    <row r="141" spans="1:15" ht="14.4" collapsed="1" thickTop="1" thickBot="1" x14ac:dyDescent="0.3">
      <c r="A141" s="564">
        <v>2006</v>
      </c>
      <c r="B141" s="565" t="s">
        <v>28</v>
      </c>
      <c r="C141" s="566">
        <f>SUM(C132:C140)</f>
        <v>322355</v>
      </c>
      <c r="D141" s="566">
        <f>SUM(D132:D140)</f>
        <v>311786</v>
      </c>
      <c r="E141" s="515">
        <f>SUM(E132:E140)</f>
        <v>276908.34000000003</v>
      </c>
      <c r="F141" s="533">
        <f t="shared" si="35"/>
        <v>0.93949654815818084</v>
      </c>
      <c r="G141" s="516">
        <f>SUM(G132:G140)</f>
        <v>17832.86</v>
      </c>
      <c r="H141" s="558">
        <f t="shared" si="36"/>
        <v>6.0503451841819197E-2</v>
      </c>
      <c r="I141" s="520">
        <f t="shared" si="44"/>
        <v>294741.2</v>
      </c>
      <c r="J141" s="531">
        <f>SUM(J132:J140)</f>
        <v>103150843.27000001</v>
      </c>
      <c r="K141" s="533">
        <f t="shared" si="45"/>
        <v>0.93129628648032203</v>
      </c>
      <c r="L141" s="532">
        <f>SUM(L132:L140)</f>
        <v>7609657.7299999995</v>
      </c>
      <c r="M141" s="562">
        <f t="shared" si="46"/>
        <v>6.8703713519677911E-2</v>
      </c>
      <c r="N141" s="524">
        <f t="shared" si="49"/>
        <v>110760501.00000001</v>
      </c>
      <c r="O141" s="663">
        <f t="shared" si="48"/>
        <v>375.78900065549033</v>
      </c>
    </row>
    <row r="142" spans="1:15" ht="15.6" hidden="1" customHeight="1" outlineLevel="1" thickTop="1" x14ac:dyDescent="0.25">
      <c r="A142" s="500">
        <v>2007</v>
      </c>
      <c r="B142" s="501" t="s">
        <v>20</v>
      </c>
      <c r="C142" s="502">
        <v>10400</v>
      </c>
      <c r="D142" s="502">
        <v>10037</v>
      </c>
      <c r="E142" s="509">
        <v>10489.86</v>
      </c>
      <c r="F142" s="541">
        <f>IF(E142=0,0,+E142/$I142)</f>
        <v>0.83361094246179956</v>
      </c>
      <c r="G142" s="510">
        <v>2093.7800000000002</v>
      </c>
      <c r="H142" s="541">
        <f>IF(G142=0,0,+G142/$I142)</f>
        <v>0.16638905753820038</v>
      </c>
      <c r="I142" s="517">
        <f t="shared" si="44"/>
        <v>12583.640000000001</v>
      </c>
      <c r="J142" s="525">
        <v>4420308.9800000004</v>
      </c>
      <c r="K142" s="541">
        <f t="shared" si="45"/>
        <v>0.84721555611022781</v>
      </c>
      <c r="L142" s="526">
        <v>797145.95</v>
      </c>
      <c r="M142" s="559">
        <f t="shared" si="46"/>
        <v>0.15278444388977211</v>
      </c>
      <c r="N142" s="521">
        <f t="shared" si="49"/>
        <v>5217454.9300000006</v>
      </c>
      <c r="O142" s="664">
        <f t="shared" si="48"/>
        <v>414.62207517061836</v>
      </c>
    </row>
    <row r="143" spans="1:15" ht="15.6" hidden="1" customHeight="1" outlineLevel="1" x14ac:dyDescent="0.25">
      <c r="A143" s="503">
        <v>2007</v>
      </c>
      <c r="B143" s="504" t="s">
        <v>41</v>
      </c>
      <c r="C143" s="505">
        <v>13970</v>
      </c>
      <c r="D143" s="505">
        <v>16772</v>
      </c>
      <c r="E143" s="511">
        <v>23342.76</v>
      </c>
      <c r="F143" s="534">
        <f t="shared" si="35"/>
        <v>0.99923375452577101</v>
      </c>
      <c r="G143" s="512">
        <v>17.899999999999999</v>
      </c>
      <c r="H143" s="534">
        <f t="shared" si="36"/>
        <v>7.6624547422889588E-4</v>
      </c>
      <c r="I143" s="518">
        <f t="shared" si="44"/>
        <v>23360.66</v>
      </c>
      <c r="J143" s="527">
        <v>11077212.52</v>
      </c>
      <c r="K143" s="534">
        <f t="shared" si="45"/>
        <v>0.99913099639835112</v>
      </c>
      <c r="L143" s="528">
        <v>9634.51</v>
      </c>
      <c r="M143" s="560">
        <f t="shared" si="46"/>
        <v>8.6900360164886314E-4</v>
      </c>
      <c r="N143" s="522">
        <f t="shared" si="49"/>
        <v>11086847.029999999</v>
      </c>
      <c r="O143" s="661">
        <f t="shared" si="48"/>
        <v>474.59476872656847</v>
      </c>
    </row>
    <row r="144" spans="1:15" ht="15.6" hidden="1" customHeight="1" outlineLevel="1" x14ac:dyDescent="0.25">
      <c r="A144" s="503">
        <v>2007</v>
      </c>
      <c r="B144" s="504" t="s">
        <v>21</v>
      </c>
      <c r="C144" s="505">
        <v>8700</v>
      </c>
      <c r="D144" s="505">
        <v>11947</v>
      </c>
      <c r="E144" s="511">
        <v>4553.82</v>
      </c>
      <c r="F144" s="534">
        <f t="shared" si="35"/>
        <v>1</v>
      </c>
      <c r="G144" s="512">
        <v>0</v>
      </c>
      <c r="H144" s="534">
        <f t="shared" si="36"/>
        <v>0</v>
      </c>
      <c r="I144" s="518">
        <f t="shared" si="44"/>
        <v>4553.82</v>
      </c>
      <c r="J144" s="527">
        <v>1862481.64</v>
      </c>
      <c r="K144" s="534">
        <f t="shared" si="45"/>
        <v>1</v>
      </c>
      <c r="L144" s="528">
        <v>0</v>
      </c>
      <c r="M144" s="560">
        <f t="shared" si="46"/>
        <v>0</v>
      </c>
      <c r="N144" s="522">
        <f t="shared" si="49"/>
        <v>1862481.64</v>
      </c>
      <c r="O144" s="661">
        <f t="shared" si="48"/>
        <v>408.99324962339313</v>
      </c>
    </row>
    <row r="145" spans="1:15" ht="15.6" hidden="1" customHeight="1" outlineLevel="1" x14ac:dyDescent="0.25">
      <c r="A145" s="503">
        <v>2007</v>
      </c>
      <c r="B145" s="504" t="s">
        <v>22</v>
      </c>
      <c r="C145" s="505">
        <v>61400</v>
      </c>
      <c r="D145" s="505">
        <v>92793</v>
      </c>
      <c r="E145" s="511">
        <v>68400.47</v>
      </c>
      <c r="F145" s="534">
        <f t="shared" si="35"/>
        <v>0.99371393090190829</v>
      </c>
      <c r="G145" s="512">
        <v>432.69</v>
      </c>
      <c r="H145" s="534">
        <f t="shared" si="36"/>
        <v>6.2860690980916754E-3</v>
      </c>
      <c r="I145" s="518">
        <f t="shared" si="44"/>
        <v>68833.16</v>
      </c>
      <c r="J145" s="527">
        <v>28002660.59</v>
      </c>
      <c r="K145" s="534">
        <f t="shared" si="45"/>
        <v>0.99234753702756029</v>
      </c>
      <c r="L145" s="528">
        <v>215941.81</v>
      </c>
      <c r="M145" s="560">
        <f t="shared" si="46"/>
        <v>7.652462972439769E-3</v>
      </c>
      <c r="N145" s="522">
        <f t="shared" si="49"/>
        <v>28218602.399999999</v>
      </c>
      <c r="O145" s="661">
        <f t="shared" si="48"/>
        <v>409.95651514473542</v>
      </c>
    </row>
    <row r="146" spans="1:15" ht="15.6" hidden="1" customHeight="1" outlineLevel="1" x14ac:dyDescent="0.25">
      <c r="A146" s="503">
        <v>2007</v>
      </c>
      <c r="B146" s="504" t="s">
        <v>23</v>
      </c>
      <c r="C146" s="505">
        <v>53300</v>
      </c>
      <c r="D146" s="505">
        <v>64918</v>
      </c>
      <c r="E146" s="511">
        <v>70988.03</v>
      </c>
      <c r="F146" s="534">
        <f t="shared" si="35"/>
        <v>1</v>
      </c>
      <c r="G146" s="512">
        <v>0</v>
      </c>
      <c r="H146" s="534">
        <f t="shared" si="36"/>
        <v>0</v>
      </c>
      <c r="I146" s="518">
        <f t="shared" si="44"/>
        <v>70988.03</v>
      </c>
      <c r="J146" s="527">
        <v>33210866.460000001</v>
      </c>
      <c r="K146" s="534">
        <f t="shared" si="45"/>
        <v>1</v>
      </c>
      <c r="L146" s="528">
        <v>0</v>
      </c>
      <c r="M146" s="560">
        <f t="shared" si="46"/>
        <v>0</v>
      </c>
      <c r="N146" s="522">
        <f t="shared" si="49"/>
        <v>33210866.460000001</v>
      </c>
      <c r="O146" s="661">
        <f t="shared" si="48"/>
        <v>467.837555993595</v>
      </c>
    </row>
    <row r="147" spans="1:15" ht="15.6" hidden="1" customHeight="1" outlineLevel="1" x14ac:dyDescent="0.25">
      <c r="A147" s="503">
        <v>2007</v>
      </c>
      <c r="B147" s="504" t="s">
        <v>24</v>
      </c>
      <c r="C147" s="505">
        <v>58100</v>
      </c>
      <c r="D147" s="505">
        <v>50820</v>
      </c>
      <c r="E147" s="511">
        <v>53658.61</v>
      </c>
      <c r="F147" s="534">
        <f t="shared" si="35"/>
        <v>0.93839699593257497</v>
      </c>
      <c r="G147" s="512">
        <v>3522.53</v>
      </c>
      <c r="H147" s="534">
        <f t="shared" si="36"/>
        <v>6.1603004067425034E-2</v>
      </c>
      <c r="I147" s="518">
        <f t="shared" si="44"/>
        <v>57181.14</v>
      </c>
      <c r="J147" s="527">
        <v>15807106.01</v>
      </c>
      <c r="K147" s="534">
        <f t="shared" si="45"/>
        <v>0.9499541060519392</v>
      </c>
      <c r="L147" s="528">
        <v>832756.81</v>
      </c>
      <c r="M147" s="560">
        <f t="shared" si="46"/>
        <v>5.0045893948060804E-2</v>
      </c>
      <c r="N147" s="522">
        <f t="shared" si="49"/>
        <v>16639862.82</v>
      </c>
      <c r="O147" s="661">
        <f t="shared" si="48"/>
        <v>291.0026421299051</v>
      </c>
    </row>
    <row r="148" spans="1:15" ht="15.6" hidden="1" customHeight="1" outlineLevel="1" x14ac:dyDescent="0.25">
      <c r="A148" s="503">
        <v>2007</v>
      </c>
      <c r="B148" s="504" t="s">
        <v>25</v>
      </c>
      <c r="C148" s="505">
        <v>23314</v>
      </c>
      <c r="D148" s="505">
        <v>9270</v>
      </c>
      <c r="E148" s="511">
        <v>3002.72</v>
      </c>
      <c r="F148" s="534">
        <f t="shared" si="35"/>
        <v>0.12827723795873638</v>
      </c>
      <c r="G148" s="512">
        <v>20405.330000000002</v>
      </c>
      <c r="H148" s="534">
        <f t="shared" si="36"/>
        <v>0.87172276204126353</v>
      </c>
      <c r="I148" s="518">
        <f t="shared" si="44"/>
        <v>23408.050000000003</v>
      </c>
      <c r="J148" s="527">
        <v>1460024.83</v>
      </c>
      <c r="K148" s="534">
        <f t="shared" si="45"/>
        <v>0.11984079008106667</v>
      </c>
      <c r="L148" s="528">
        <v>10723012.59</v>
      </c>
      <c r="M148" s="560">
        <f t="shared" si="46"/>
        <v>0.88015920991893337</v>
      </c>
      <c r="N148" s="522">
        <f t="shared" si="49"/>
        <v>12183037.42</v>
      </c>
      <c r="O148" s="661">
        <f t="shared" si="48"/>
        <v>520.46357641922327</v>
      </c>
    </row>
    <row r="149" spans="1:15" ht="15.6" hidden="1" customHeight="1" outlineLevel="1" x14ac:dyDescent="0.25">
      <c r="A149" s="503">
        <v>2007</v>
      </c>
      <c r="B149" s="504" t="s">
        <v>26</v>
      </c>
      <c r="C149" s="505">
        <v>1071</v>
      </c>
      <c r="D149" s="505">
        <v>2020</v>
      </c>
      <c r="E149" s="511">
        <v>1236.32</v>
      </c>
      <c r="F149" s="534">
        <f t="shared" si="35"/>
        <v>0.66911657258522794</v>
      </c>
      <c r="G149" s="512">
        <v>611.37</v>
      </c>
      <c r="H149" s="534">
        <f t="shared" si="36"/>
        <v>0.33088342741477195</v>
      </c>
      <c r="I149" s="518">
        <f t="shared" si="44"/>
        <v>1847.69</v>
      </c>
      <c r="J149" s="527">
        <v>363069.33</v>
      </c>
      <c r="K149" s="534">
        <f t="shared" si="45"/>
        <v>0.66548720738840828</v>
      </c>
      <c r="L149" s="528">
        <v>182499.88</v>
      </c>
      <c r="M149" s="560">
        <f t="shared" si="46"/>
        <v>0.33451279261159189</v>
      </c>
      <c r="N149" s="522">
        <f t="shared" si="49"/>
        <v>545569.21</v>
      </c>
      <c r="O149" s="661">
        <f t="shared" si="48"/>
        <v>295.27096536756704</v>
      </c>
    </row>
    <row r="150" spans="1:15" ht="15.6" hidden="1" customHeight="1" outlineLevel="1" thickBot="1" x14ac:dyDescent="0.3">
      <c r="A150" s="506">
        <v>2007</v>
      </c>
      <c r="B150" s="507" t="s">
        <v>27</v>
      </c>
      <c r="C150" s="508">
        <v>6300</v>
      </c>
      <c r="D150" s="508">
        <v>7961</v>
      </c>
      <c r="E150" s="513">
        <v>8725.24</v>
      </c>
      <c r="F150" s="535">
        <f t="shared" si="35"/>
        <v>1</v>
      </c>
      <c r="G150" s="514">
        <v>0</v>
      </c>
      <c r="H150" s="535">
        <f t="shared" si="36"/>
        <v>0</v>
      </c>
      <c r="I150" s="519">
        <f t="shared" si="44"/>
        <v>8725.24</v>
      </c>
      <c r="J150" s="529">
        <v>2083563.99</v>
      </c>
      <c r="K150" s="535">
        <f t="shared" si="45"/>
        <v>1</v>
      </c>
      <c r="L150" s="530">
        <v>0</v>
      </c>
      <c r="M150" s="561">
        <f t="shared" si="46"/>
        <v>0</v>
      </c>
      <c r="N150" s="523">
        <f t="shared" si="49"/>
        <v>2083563.99</v>
      </c>
      <c r="O150" s="662">
        <f t="shared" si="48"/>
        <v>238.79732706492888</v>
      </c>
    </row>
    <row r="151" spans="1:15" ht="14.4" collapsed="1" thickTop="1" thickBot="1" x14ac:dyDescent="0.3">
      <c r="A151" s="564">
        <v>2007</v>
      </c>
      <c r="B151" s="565" t="s">
        <v>28</v>
      </c>
      <c r="C151" s="566">
        <f>SUM(C142:C150)</f>
        <v>236555</v>
      </c>
      <c r="D151" s="566">
        <f>SUM(D142:D150)</f>
        <v>266538</v>
      </c>
      <c r="E151" s="515">
        <f>SUM(E142:E150)</f>
        <v>244397.83</v>
      </c>
      <c r="F151" s="533">
        <f t="shared" si="35"/>
        <v>0.90023774370129106</v>
      </c>
      <c r="G151" s="516">
        <f>SUM(G142:G150)</f>
        <v>27083.600000000002</v>
      </c>
      <c r="H151" s="558">
        <f t="shared" si="36"/>
        <v>9.9762256298708912E-2</v>
      </c>
      <c r="I151" s="520">
        <f t="shared" si="44"/>
        <v>271481.43</v>
      </c>
      <c r="J151" s="531">
        <f>SUM(J142:J150)</f>
        <v>98287294.349999994</v>
      </c>
      <c r="K151" s="533">
        <f t="shared" si="45"/>
        <v>0.88508610064011806</v>
      </c>
      <c r="L151" s="532">
        <f>SUM(L142:L150)</f>
        <v>12760991.550000001</v>
      </c>
      <c r="M151" s="562">
        <f t="shared" si="46"/>
        <v>0.11491389935988199</v>
      </c>
      <c r="N151" s="524">
        <f t="shared" si="49"/>
        <v>111048285.89999999</v>
      </c>
      <c r="O151" s="663">
        <f t="shared" si="48"/>
        <v>409.04560543975327</v>
      </c>
    </row>
    <row r="152" spans="1:15" ht="15.6" hidden="1" customHeight="1" outlineLevel="1" thickTop="1" x14ac:dyDescent="0.25">
      <c r="A152" s="500">
        <v>2008</v>
      </c>
      <c r="B152" s="501" t="s">
        <v>20</v>
      </c>
      <c r="C152" s="502">
        <v>10700</v>
      </c>
      <c r="D152" s="502">
        <v>11757</v>
      </c>
      <c r="E152" s="509">
        <v>7481.15</v>
      </c>
      <c r="F152" s="541">
        <f>IF(E152=0,0,+E152/$I152)</f>
        <v>0.84125354497878069</v>
      </c>
      <c r="G152" s="510">
        <v>1411.71</v>
      </c>
      <c r="H152" s="541">
        <f>IF(G152=0,0,+G152/$I152)</f>
        <v>0.15874645502121926</v>
      </c>
      <c r="I152" s="517">
        <f t="shared" si="44"/>
        <v>8892.86</v>
      </c>
      <c r="J152" s="525">
        <v>2874370.59</v>
      </c>
      <c r="K152" s="541">
        <f t="shared" si="45"/>
        <v>0.87410401141334126</v>
      </c>
      <c r="L152" s="526">
        <v>413991.61</v>
      </c>
      <c r="M152" s="559">
        <f t="shared" si="46"/>
        <v>0.12589598858665874</v>
      </c>
      <c r="N152" s="521">
        <f t="shared" si="49"/>
        <v>3288362.1999999997</v>
      </c>
      <c r="O152" s="664">
        <f t="shared" si="48"/>
        <v>369.7755502729155</v>
      </c>
    </row>
    <row r="153" spans="1:15" ht="15.6" hidden="1" customHeight="1" outlineLevel="1" x14ac:dyDescent="0.25">
      <c r="A153" s="503">
        <v>2008</v>
      </c>
      <c r="B153" s="504" t="s">
        <v>41</v>
      </c>
      <c r="C153" s="505">
        <v>14000</v>
      </c>
      <c r="D153" s="505">
        <v>14991</v>
      </c>
      <c r="E153" s="511">
        <v>17830.5</v>
      </c>
      <c r="F153" s="534">
        <f t="shared" si="35"/>
        <v>0.99179828623396993</v>
      </c>
      <c r="G153" s="512">
        <v>147.44999999999999</v>
      </c>
      <c r="H153" s="534">
        <f t="shared" si="36"/>
        <v>8.201713766030053E-3</v>
      </c>
      <c r="I153" s="518">
        <f t="shared" si="44"/>
        <v>17977.95</v>
      </c>
      <c r="J153" s="527">
        <v>7028931.8600000003</v>
      </c>
      <c r="K153" s="534">
        <f t="shared" si="45"/>
        <v>0.98893049218685281</v>
      </c>
      <c r="L153" s="528">
        <v>78677.740000000005</v>
      </c>
      <c r="M153" s="560">
        <f t="shared" si="46"/>
        <v>1.1069507813147193E-2</v>
      </c>
      <c r="N153" s="522">
        <f t="shared" si="49"/>
        <v>7107609.6000000006</v>
      </c>
      <c r="O153" s="661">
        <f t="shared" si="48"/>
        <v>395.35150559435311</v>
      </c>
    </row>
    <row r="154" spans="1:15" ht="15.6" hidden="1" customHeight="1" outlineLevel="1" x14ac:dyDescent="0.25">
      <c r="A154" s="503">
        <v>2008</v>
      </c>
      <c r="B154" s="504" t="s">
        <v>21</v>
      </c>
      <c r="C154" s="505">
        <v>9300</v>
      </c>
      <c r="D154" s="505">
        <v>10568</v>
      </c>
      <c r="E154" s="511">
        <v>6839.13</v>
      </c>
      <c r="F154" s="534">
        <f t="shared" si="35"/>
        <v>0.71883848671556239</v>
      </c>
      <c r="G154" s="512">
        <v>2675.01</v>
      </c>
      <c r="H154" s="534">
        <f t="shared" si="36"/>
        <v>0.28116151328443773</v>
      </c>
      <c r="I154" s="518">
        <f t="shared" si="44"/>
        <v>9514.14</v>
      </c>
      <c r="J154" s="527">
        <v>2649455.2999999998</v>
      </c>
      <c r="K154" s="534">
        <f t="shared" si="45"/>
        <v>0.65109487671325872</v>
      </c>
      <c r="L154" s="528">
        <v>1419775.46</v>
      </c>
      <c r="M154" s="560">
        <f t="shared" si="46"/>
        <v>0.34890512328674134</v>
      </c>
      <c r="N154" s="522">
        <f t="shared" si="49"/>
        <v>4069230.76</v>
      </c>
      <c r="O154" s="661">
        <f t="shared" si="48"/>
        <v>427.70347714034057</v>
      </c>
    </row>
    <row r="155" spans="1:15" ht="15.6" hidden="1" customHeight="1" outlineLevel="1" x14ac:dyDescent="0.25">
      <c r="A155" s="503">
        <v>2008</v>
      </c>
      <c r="B155" s="504" t="s">
        <v>22</v>
      </c>
      <c r="C155" s="505">
        <v>50000</v>
      </c>
      <c r="D155" s="505">
        <v>79168</v>
      </c>
      <c r="E155" s="511">
        <v>80478.8</v>
      </c>
      <c r="F155" s="534">
        <f t="shared" si="35"/>
        <v>0.97258121198381009</v>
      </c>
      <c r="G155" s="512">
        <v>2268.84</v>
      </c>
      <c r="H155" s="534">
        <f t="shared" si="36"/>
        <v>2.7418788016189952E-2</v>
      </c>
      <c r="I155" s="518">
        <f t="shared" si="44"/>
        <v>82747.64</v>
      </c>
      <c r="J155" s="527">
        <v>26448656.57</v>
      </c>
      <c r="K155" s="534">
        <f t="shared" si="45"/>
        <v>0.96283580737259267</v>
      </c>
      <c r="L155" s="528">
        <v>1020883.27</v>
      </c>
      <c r="M155" s="560">
        <f t="shared" si="46"/>
        <v>3.7164192627407333E-2</v>
      </c>
      <c r="N155" s="522">
        <f t="shared" si="49"/>
        <v>27469539.84</v>
      </c>
      <c r="O155" s="661">
        <f t="shared" si="48"/>
        <v>331.96765297475554</v>
      </c>
    </row>
    <row r="156" spans="1:15" ht="15.6" hidden="1" customHeight="1" outlineLevel="1" x14ac:dyDescent="0.25">
      <c r="A156" s="503">
        <v>2008</v>
      </c>
      <c r="B156" s="504" t="s">
        <v>23</v>
      </c>
      <c r="C156" s="505">
        <v>58000</v>
      </c>
      <c r="D156" s="505">
        <v>65025</v>
      </c>
      <c r="E156" s="511">
        <v>59539.37</v>
      </c>
      <c r="F156" s="534">
        <f t="shared" si="35"/>
        <v>1</v>
      </c>
      <c r="G156" s="512">
        <v>0</v>
      </c>
      <c r="H156" s="534">
        <f t="shared" si="36"/>
        <v>0</v>
      </c>
      <c r="I156" s="518">
        <f t="shared" si="44"/>
        <v>59539.37</v>
      </c>
      <c r="J156" s="527">
        <v>26331426.09</v>
      </c>
      <c r="K156" s="534">
        <f t="shared" si="45"/>
        <v>1</v>
      </c>
      <c r="L156" s="528">
        <v>0</v>
      </c>
      <c r="M156" s="560">
        <f t="shared" si="46"/>
        <v>0</v>
      </c>
      <c r="N156" s="522">
        <f t="shared" si="49"/>
        <v>26331426.09</v>
      </c>
      <c r="O156" s="661">
        <f t="shared" si="48"/>
        <v>442.25234647259452</v>
      </c>
    </row>
    <row r="157" spans="1:15" ht="15.6" hidden="1" customHeight="1" outlineLevel="1" x14ac:dyDescent="0.25">
      <c r="A157" s="503">
        <v>2008</v>
      </c>
      <c r="B157" s="504" t="s">
        <v>24</v>
      </c>
      <c r="C157" s="505">
        <v>59700</v>
      </c>
      <c r="D157" s="505">
        <v>25189</v>
      </c>
      <c r="E157" s="511">
        <v>50421.74</v>
      </c>
      <c r="F157" s="534">
        <f t="shared" ref="F157:F162" si="50">IF(E157=0,0,+E157/$I157)</f>
        <v>0.96546910758654081</v>
      </c>
      <c r="G157" s="512">
        <v>1803.38</v>
      </c>
      <c r="H157" s="534">
        <f t="shared" ref="H157:H162" si="51">IF(G157=0,0,+G157/$I157)</f>
        <v>3.4530892413459274E-2</v>
      </c>
      <c r="I157" s="518">
        <f t="shared" si="44"/>
        <v>52225.119999999995</v>
      </c>
      <c r="J157" s="527">
        <v>14309169.810000001</v>
      </c>
      <c r="K157" s="534">
        <f t="shared" si="45"/>
        <v>0.97373452019680817</v>
      </c>
      <c r="L157" s="528">
        <v>385975.03</v>
      </c>
      <c r="M157" s="560">
        <f t="shared" si="46"/>
        <v>2.6265479803191924E-2</v>
      </c>
      <c r="N157" s="522">
        <f t="shared" si="49"/>
        <v>14695144.84</v>
      </c>
      <c r="O157" s="661">
        <f t="shared" si="48"/>
        <v>281.38077691348531</v>
      </c>
    </row>
    <row r="158" spans="1:15" ht="15.6" hidden="1" customHeight="1" outlineLevel="1" x14ac:dyDescent="0.25">
      <c r="A158" s="503">
        <v>2008</v>
      </c>
      <c r="B158" s="504" t="s">
        <v>25</v>
      </c>
      <c r="C158" s="505">
        <v>21400</v>
      </c>
      <c r="D158" s="505">
        <v>27496</v>
      </c>
      <c r="E158" s="511">
        <v>5300.71</v>
      </c>
      <c r="F158" s="534">
        <f t="shared" si="50"/>
        <v>0.26585726480551386</v>
      </c>
      <c r="G158" s="512">
        <v>14637.47</v>
      </c>
      <c r="H158" s="534">
        <f t="shared" si="51"/>
        <v>0.73414273519448614</v>
      </c>
      <c r="I158" s="518">
        <f t="shared" si="44"/>
        <v>19938.18</v>
      </c>
      <c r="J158" s="527">
        <v>2680583.17</v>
      </c>
      <c r="K158" s="534">
        <f t="shared" si="45"/>
        <v>0.23626798329511939</v>
      </c>
      <c r="L158" s="528">
        <v>8664937</v>
      </c>
      <c r="M158" s="560">
        <f t="shared" si="46"/>
        <v>0.76373201670488067</v>
      </c>
      <c r="N158" s="522">
        <f t="shared" si="49"/>
        <v>11345520.17</v>
      </c>
      <c r="O158" s="661">
        <f t="shared" si="48"/>
        <v>569.03489536156258</v>
      </c>
    </row>
    <row r="159" spans="1:15" ht="15.6" hidden="1" customHeight="1" outlineLevel="1" x14ac:dyDescent="0.25">
      <c r="A159" s="503">
        <v>2008</v>
      </c>
      <c r="B159" s="504" t="s">
        <v>26</v>
      </c>
      <c r="C159" s="505">
        <v>1800</v>
      </c>
      <c r="D159" s="505">
        <v>3117</v>
      </c>
      <c r="E159" s="511">
        <v>740.09</v>
      </c>
      <c r="F159" s="534">
        <f t="shared" si="50"/>
        <v>0.96083140757666252</v>
      </c>
      <c r="G159" s="512">
        <v>30.17</v>
      </c>
      <c r="H159" s="534">
        <f t="shared" si="51"/>
        <v>3.9168592423337575E-2</v>
      </c>
      <c r="I159" s="518">
        <f t="shared" si="44"/>
        <v>770.26</v>
      </c>
      <c r="J159" s="527">
        <v>211474.32</v>
      </c>
      <c r="K159" s="534">
        <f t="shared" si="45"/>
        <v>0.97846092771673276</v>
      </c>
      <c r="L159" s="528">
        <v>4655.2299999999996</v>
      </c>
      <c r="M159" s="560">
        <f t="shared" si="46"/>
        <v>2.1539072283267138E-2</v>
      </c>
      <c r="N159" s="522">
        <f t="shared" si="49"/>
        <v>216129.55000000002</v>
      </c>
      <c r="O159" s="661">
        <f t="shared" si="48"/>
        <v>280.59298159063178</v>
      </c>
    </row>
    <row r="160" spans="1:15" ht="15.6" hidden="1" customHeight="1" outlineLevel="1" thickBot="1" x14ac:dyDescent="0.3">
      <c r="A160" s="506">
        <v>2008</v>
      </c>
      <c r="B160" s="507" t="s">
        <v>27</v>
      </c>
      <c r="C160" s="508">
        <v>6000</v>
      </c>
      <c r="D160" s="508">
        <v>14683</v>
      </c>
      <c r="E160" s="513">
        <v>7946.74</v>
      </c>
      <c r="F160" s="535">
        <f t="shared" si="50"/>
        <v>1</v>
      </c>
      <c r="G160" s="514">
        <v>0</v>
      </c>
      <c r="H160" s="535">
        <f t="shared" si="51"/>
        <v>0</v>
      </c>
      <c r="I160" s="519">
        <f t="shared" si="44"/>
        <v>7946.74</v>
      </c>
      <c r="J160" s="529">
        <v>2087127.44</v>
      </c>
      <c r="K160" s="535">
        <f t="shared" si="45"/>
        <v>1</v>
      </c>
      <c r="L160" s="530">
        <v>0</v>
      </c>
      <c r="M160" s="561">
        <f t="shared" si="46"/>
        <v>0</v>
      </c>
      <c r="N160" s="523">
        <f t="shared" si="49"/>
        <v>2087127.44</v>
      </c>
      <c r="O160" s="662">
        <f t="shared" si="48"/>
        <v>262.63945215270667</v>
      </c>
    </row>
    <row r="161" spans="1:15" ht="14.4" collapsed="1" thickTop="1" thickBot="1" x14ac:dyDescent="0.3">
      <c r="A161" s="564">
        <v>2008</v>
      </c>
      <c r="B161" s="565" t="s">
        <v>28</v>
      </c>
      <c r="C161" s="566">
        <f>SUM(C152:C160)</f>
        <v>230900</v>
      </c>
      <c r="D161" s="566">
        <f>SUM(D152:D160)</f>
        <v>251994</v>
      </c>
      <c r="E161" s="515">
        <f t="shared" ref="E161:N161" si="52">SUM(E152:E160)</f>
        <v>236578.22999999998</v>
      </c>
      <c r="F161" s="533">
        <f t="shared" si="50"/>
        <v>0.91148591809603197</v>
      </c>
      <c r="G161" s="516">
        <f t="shared" si="52"/>
        <v>22974.03</v>
      </c>
      <c r="H161" s="558">
        <f t="shared" si="51"/>
        <v>8.8514081903968006E-2</v>
      </c>
      <c r="I161" s="520">
        <f t="shared" si="52"/>
        <v>259552.25999999998</v>
      </c>
      <c r="J161" s="531">
        <f t="shared" si="52"/>
        <v>84621195.149999991</v>
      </c>
      <c r="K161" s="533">
        <f t="shared" si="45"/>
        <v>0.87590431517874456</v>
      </c>
      <c r="L161" s="532">
        <f t="shared" si="52"/>
        <v>11988895.34</v>
      </c>
      <c r="M161" s="562">
        <f t="shared" si="46"/>
        <v>0.12409568482125537</v>
      </c>
      <c r="N161" s="524">
        <f t="shared" si="52"/>
        <v>96610090.489999995</v>
      </c>
      <c r="O161" s="663">
        <f t="shared" si="48"/>
        <v>372.21825959057338</v>
      </c>
    </row>
    <row r="162" spans="1:15" ht="15.6" hidden="1" customHeight="1" outlineLevel="1" thickTop="1" x14ac:dyDescent="0.25">
      <c r="A162" s="500">
        <v>2009</v>
      </c>
      <c r="B162" s="501" t="s">
        <v>20</v>
      </c>
      <c r="C162" s="502">
        <v>10800</v>
      </c>
      <c r="D162" s="502">
        <v>13551</v>
      </c>
      <c r="E162" s="509">
        <v>10326.57</v>
      </c>
      <c r="F162" s="541">
        <f t="shared" si="50"/>
        <v>0.81284757233637095</v>
      </c>
      <c r="G162" s="510">
        <v>2377.62</v>
      </c>
      <c r="H162" s="541">
        <f t="shared" si="51"/>
        <v>0.18715242766362911</v>
      </c>
      <c r="I162" s="517">
        <f t="shared" si="44"/>
        <v>12704.189999999999</v>
      </c>
      <c r="J162" s="525">
        <v>3104048.3</v>
      </c>
      <c r="K162" s="541">
        <f t="shared" si="45"/>
        <v>0.83336519035197099</v>
      </c>
      <c r="L162" s="526">
        <v>620667.27</v>
      </c>
      <c r="M162" s="559">
        <f t="shared" si="46"/>
        <v>0.16663480964802907</v>
      </c>
      <c r="N162" s="521">
        <f t="shared" ref="N162:N190" si="53">J162+L162</f>
        <v>3724715.57</v>
      </c>
      <c r="O162" s="664">
        <f t="shared" si="48"/>
        <v>293.18796160951626</v>
      </c>
    </row>
    <row r="163" spans="1:15" ht="15.6" hidden="1" customHeight="1" outlineLevel="1" x14ac:dyDescent="0.25">
      <c r="A163" s="503">
        <v>2009</v>
      </c>
      <c r="B163" s="504" t="s">
        <v>41</v>
      </c>
      <c r="C163" s="505">
        <v>17688</v>
      </c>
      <c r="D163" s="505">
        <v>16200</v>
      </c>
      <c r="E163" s="511">
        <v>14666.73</v>
      </c>
      <c r="F163" s="534">
        <f t="shared" ref="F163:F171" si="54">IF(E163=0,0,+E163/$I163)</f>
        <v>0.98673165612101765</v>
      </c>
      <c r="G163" s="512">
        <v>197.22</v>
      </c>
      <c r="H163" s="534">
        <f t="shared" ref="H163:H171" si="55">IF(G163=0,0,+G163/$I163)</f>
        <v>1.3268343878982371E-2</v>
      </c>
      <c r="I163" s="518">
        <f t="shared" si="44"/>
        <v>14863.949999999999</v>
      </c>
      <c r="J163" s="527">
        <v>5928779.5300000003</v>
      </c>
      <c r="K163" s="534">
        <f t="shared" si="45"/>
        <v>0.98303530026324826</v>
      </c>
      <c r="L163" s="528">
        <v>102315.72</v>
      </c>
      <c r="M163" s="560">
        <f t="shared" si="46"/>
        <v>1.6964699736751795E-2</v>
      </c>
      <c r="N163" s="522">
        <f t="shared" si="53"/>
        <v>6031095.25</v>
      </c>
      <c r="O163" s="661">
        <f t="shared" si="48"/>
        <v>405.75319817410582</v>
      </c>
    </row>
    <row r="164" spans="1:15" ht="15.6" hidden="1" customHeight="1" outlineLevel="1" x14ac:dyDescent="0.25">
      <c r="A164" s="503">
        <v>2009</v>
      </c>
      <c r="B164" s="504" t="s">
        <v>21</v>
      </c>
      <c r="C164" s="505">
        <v>6900</v>
      </c>
      <c r="D164" s="505">
        <v>9520</v>
      </c>
      <c r="E164" s="511">
        <v>7057.08</v>
      </c>
      <c r="F164" s="534">
        <f t="shared" si="54"/>
        <v>0.63437392129789438</v>
      </c>
      <c r="G164" s="512">
        <v>4067.4</v>
      </c>
      <c r="H164" s="534">
        <f t="shared" si="55"/>
        <v>0.36562607870210567</v>
      </c>
      <c r="I164" s="518">
        <f t="shared" si="44"/>
        <v>11124.48</v>
      </c>
      <c r="J164" s="527">
        <v>2659369.52</v>
      </c>
      <c r="K164" s="534">
        <f t="shared" si="45"/>
        <v>0.55188253442613244</v>
      </c>
      <c r="L164" s="528">
        <v>2159354.31</v>
      </c>
      <c r="M164" s="560">
        <f t="shared" si="46"/>
        <v>0.4481174655738675</v>
      </c>
      <c r="N164" s="522">
        <f t="shared" si="53"/>
        <v>4818723.83</v>
      </c>
      <c r="O164" s="661">
        <f t="shared" si="48"/>
        <v>433.16396182113681</v>
      </c>
    </row>
    <row r="165" spans="1:15" ht="15.6" hidden="1" customHeight="1" outlineLevel="1" x14ac:dyDescent="0.25">
      <c r="A165" s="503">
        <v>2009</v>
      </c>
      <c r="B165" s="504" t="s">
        <v>22</v>
      </c>
      <c r="C165" s="505">
        <v>77557</v>
      </c>
      <c r="D165" s="505">
        <v>70825</v>
      </c>
      <c r="E165" s="511">
        <v>96181.46</v>
      </c>
      <c r="F165" s="534">
        <f t="shared" si="54"/>
        <v>0.98832818368526965</v>
      </c>
      <c r="G165" s="512">
        <v>1135.8699999999999</v>
      </c>
      <c r="H165" s="534">
        <f t="shared" si="55"/>
        <v>1.1671816314730375E-2</v>
      </c>
      <c r="I165" s="518">
        <f t="shared" si="44"/>
        <v>97317.33</v>
      </c>
      <c r="J165" s="527">
        <v>23314514.289999999</v>
      </c>
      <c r="K165" s="534">
        <f t="shared" si="45"/>
        <v>0.98455845055201952</v>
      </c>
      <c r="L165" s="528">
        <v>365658.56</v>
      </c>
      <c r="M165" s="560">
        <f t="shared" si="46"/>
        <v>1.5441549447980488E-2</v>
      </c>
      <c r="N165" s="522">
        <f t="shared" si="53"/>
        <v>23680172.849999998</v>
      </c>
      <c r="O165" s="661">
        <f t="shared" si="48"/>
        <v>243.32945478467192</v>
      </c>
    </row>
    <row r="166" spans="1:15" ht="15.6" hidden="1" customHeight="1" outlineLevel="1" x14ac:dyDescent="0.25">
      <c r="A166" s="503">
        <v>2009</v>
      </c>
      <c r="B166" s="504" t="s">
        <v>23</v>
      </c>
      <c r="C166" s="505">
        <v>62288</v>
      </c>
      <c r="D166" s="505">
        <v>70674</v>
      </c>
      <c r="E166" s="511">
        <v>39469.599999999999</v>
      </c>
      <c r="F166" s="534">
        <f t="shared" si="54"/>
        <v>1</v>
      </c>
      <c r="G166" s="512">
        <v>0</v>
      </c>
      <c r="H166" s="534">
        <f t="shared" si="55"/>
        <v>0</v>
      </c>
      <c r="I166" s="518">
        <f t="shared" si="44"/>
        <v>39469.599999999999</v>
      </c>
      <c r="J166" s="527">
        <v>15153421.189999999</v>
      </c>
      <c r="K166" s="534">
        <f t="shared" si="45"/>
        <v>1</v>
      </c>
      <c r="L166" s="528">
        <v>0</v>
      </c>
      <c r="M166" s="560">
        <f t="shared" si="46"/>
        <v>0</v>
      </c>
      <c r="N166" s="522">
        <f t="shared" si="53"/>
        <v>15153421.189999999</v>
      </c>
      <c r="O166" s="661">
        <f t="shared" si="48"/>
        <v>383.92639373087138</v>
      </c>
    </row>
    <row r="167" spans="1:15" ht="15.6" hidden="1" customHeight="1" outlineLevel="1" x14ac:dyDescent="0.25">
      <c r="A167" s="503">
        <v>2009</v>
      </c>
      <c r="B167" s="504" t="s">
        <v>24</v>
      </c>
      <c r="C167" s="505">
        <v>35300</v>
      </c>
      <c r="D167" s="505">
        <v>27282</v>
      </c>
      <c r="E167" s="511">
        <v>57398.29</v>
      </c>
      <c r="F167" s="534">
        <f t="shared" si="54"/>
        <v>0.99493245351412296</v>
      </c>
      <c r="G167" s="512">
        <v>292.35000000000002</v>
      </c>
      <c r="H167" s="534">
        <f t="shared" si="55"/>
        <v>5.0675464858770851E-3</v>
      </c>
      <c r="I167" s="518">
        <f t="shared" si="44"/>
        <v>57690.64</v>
      </c>
      <c r="J167" s="527">
        <v>14400426.060000001</v>
      </c>
      <c r="K167" s="534">
        <f t="shared" si="45"/>
        <v>0.9950886613312836</v>
      </c>
      <c r="L167" s="528">
        <v>71074.44</v>
      </c>
      <c r="M167" s="560">
        <f t="shared" si="46"/>
        <v>4.9113386687164888E-3</v>
      </c>
      <c r="N167" s="522">
        <f t="shared" si="53"/>
        <v>14471500.5</v>
      </c>
      <c r="O167" s="661">
        <f t="shared" si="48"/>
        <v>250.84659313885234</v>
      </c>
    </row>
    <row r="168" spans="1:15" ht="15.6" hidden="1" customHeight="1" outlineLevel="1" x14ac:dyDescent="0.25">
      <c r="A168" s="503">
        <v>2009</v>
      </c>
      <c r="B168" s="504" t="s">
        <v>25</v>
      </c>
      <c r="C168" s="505">
        <v>30046</v>
      </c>
      <c r="D168" s="505">
        <v>33901</v>
      </c>
      <c r="E168" s="511">
        <v>2326.9899999999998</v>
      </c>
      <c r="F168" s="534">
        <f t="shared" si="54"/>
        <v>0.11044452808373886</v>
      </c>
      <c r="G168" s="512">
        <v>18742.32</v>
      </c>
      <c r="H168" s="534">
        <f t="shared" si="55"/>
        <v>0.88955547191626128</v>
      </c>
      <c r="I168" s="518">
        <f t="shared" si="44"/>
        <v>21069.309999999998</v>
      </c>
      <c r="J168" s="527">
        <v>628038.43999999994</v>
      </c>
      <c r="K168" s="534">
        <f t="shared" si="45"/>
        <v>6.7494721037587427E-2</v>
      </c>
      <c r="L168" s="528">
        <v>8676962.4600000009</v>
      </c>
      <c r="M168" s="560">
        <f t="shared" si="46"/>
        <v>0.93250527896241264</v>
      </c>
      <c r="N168" s="522">
        <f t="shared" si="53"/>
        <v>9305000.9000000004</v>
      </c>
      <c r="O168" s="661">
        <f t="shared" si="48"/>
        <v>441.63766634977611</v>
      </c>
    </row>
    <row r="169" spans="1:15" ht="15.6" hidden="1" customHeight="1" outlineLevel="1" x14ac:dyDescent="0.25">
      <c r="A169" s="503">
        <v>2009</v>
      </c>
      <c r="B169" s="504" t="s">
        <v>26</v>
      </c>
      <c r="C169" s="505">
        <v>1265</v>
      </c>
      <c r="D169" s="505">
        <v>1663</v>
      </c>
      <c r="E169" s="511">
        <v>2631.95</v>
      </c>
      <c r="F169" s="534">
        <f t="shared" si="54"/>
        <v>1</v>
      </c>
      <c r="G169" s="512">
        <v>0</v>
      </c>
      <c r="H169" s="534">
        <f t="shared" si="55"/>
        <v>0</v>
      </c>
      <c r="I169" s="518">
        <f t="shared" si="44"/>
        <v>2631.95</v>
      </c>
      <c r="J169" s="527">
        <v>673492.42</v>
      </c>
      <c r="K169" s="534">
        <f t="shared" si="45"/>
        <v>1</v>
      </c>
      <c r="L169" s="528">
        <v>0</v>
      </c>
      <c r="M169" s="560">
        <f t="shared" si="46"/>
        <v>0</v>
      </c>
      <c r="N169" s="522">
        <f t="shared" si="53"/>
        <v>673492.42</v>
      </c>
      <c r="O169" s="661">
        <f t="shared" si="48"/>
        <v>255.89103896350619</v>
      </c>
    </row>
    <row r="170" spans="1:15" ht="15.6" hidden="1" customHeight="1" outlineLevel="1" thickBot="1" x14ac:dyDescent="0.3">
      <c r="A170" s="506">
        <v>2009</v>
      </c>
      <c r="B170" s="507" t="s">
        <v>27</v>
      </c>
      <c r="C170" s="508">
        <v>7196</v>
      </c>
      <c r="D170" s="508">
        <v>7793</v>
      </c>
      <c r="E170" s="513">
        <v>6855.07</v>
      </c>
      <c r="F170" s="535">
        <f t="shared" si="54"/>
        <v>0.73474206583135937</v>
      </c>
      <c r="G170" s="514">
        <v>2474.83</v>
      </c>
      <c r="H170" s="535">
        <f t="shared" si="55"/>
        <v>0.26525793416864063</v>
      </c>
      <c r="I170" s="519">
        <f t="shared" si="44"/>
        <v>9329.9</v>
      </c>
      <c r="J170" s="529">
        <v>1780109.29</v>
      </c>
      <c r="K170" s="535">
        <f t="shared" si="45"/>
        <v>0.80772327799920063</v>
      </c>
      <c r="L170" s="530">
        <v>423751.04</v>
      </c>
      <c r="M170" s="561">
        <f t="shared" si="46"/>
        <v>0.19227672200079937</v>
      </c>
      <c r="N170" s="523">
        <f t="shared" si="53"/>
        <v>2203860.33</v>
      </c>
      <c r="O170" s="662">
        <f t="shared" si="48"/>
        <v>236.21478579620361</v>
      </c>
    </row>
    <row r="171" spans="1:15" ht="14.4" collapsed="1" thickTop="1" thickBot="1" x14ac:dyDescent="0.3">
      <c r="A171" s="564">
        <v>2009</v>
      </c>
      <c r="B171" s="565" t="s">
        <v>28</v>
      </c>
      <c r="C171" s="566">
        <f>SUM(C162:C170)</f>
        <v>249040</v>
      </c>
      <c r="D171" s="566">
        <f>SUM(D162:D170)</f>
        <v>251409</v>
      </c>
      <c r="E171" s="515">
        <f>SUM(E162:E170)</f>
        <v>236913.74000000002</v>
      </c>
      <c r="F171" s="533">
        <f t="shared" si="54"/>
        <v>0.8899794835751208</v>
      </c>
      <c r="G171" s="516">
        <f>SUM(G162:G170)</f>
        <v>29287.61</v>
      </c>
      <c r="H171" s="558">
        <f t="shared" si="55"/>
        <v>0.11002051642487913</v>
      </c>
      <c r="I171" s="520">
        <f t="shared" si="44"/>
        <v>266201.35000000003</v>
      </c>
      <c r="J171" s="531">
        <f>SUM(J162:J170)</f>
        <v>67642199.040000007</v>
      </c>
      <c r="K171" s="533">
        <f t="shared" si="45"/>
        <v>0.84487289273336719</v>
      </c>
      <c r="L171" s="532">
        <f>SUM(L162:L170)</f>
        <v>12419783.800000001</v>
      </c>
      <c r="M171" s="562">
        <f t="shared" si="46"/>
        <v>0.15512710726663287</v>
      </c>
      <c r="N171" s="524">
        <f t="shared" si="53"/>
        <v>80061982.840000004</v>
      </c>
      <c r="O171" s="663">
        <f t="shared" si="48"/>
        <v>300.75723823338984</v>
      </c>
    </row>
    <row r="172" spans="1:15" ht="15.6" hidden="1" customHeight="1" outlineLevel="1" thickTop="1" x14ac:dyDescent="0.25">
      <c r="A172" s="500">
        <v>2010</v>
      </c>
      <c r="B172" s="501" t="s">
        <v>20</v>
      </c>
      <c r="C172" s="502">
        <v>10100</v>
      </c>
      <c r="D172" s="502">
        <v>9108</v>
      </c>
      <c r="E172" s="509">
        <v>9706.68</v>
      </c>
      <c r="F172" s="541">
        <f>IF(E172=0,0,+E172/$I172)</f>
        <v>0.70833324211609405</v>
      </c>
      <c r="G172" s="510">
        <v>3996.87</v>
      </c>
      <c r="H172" s="541">
        <f>IF(G172=0,0,+G172/$I172)</f>
        <v>0.291666757883906</v>
      </c>
      <c r="I172" s="517">
        <f t="shared" si="44"/>
        <v>13703.55</v>
      </c>
      <c r="J172" s="525">
        <v>2082528.59</v>
      </c>
      <c r="K172" s="541">
        <f t="shared" si="45"/>
        <v>0.63944538023436592</v>
      </c>
      <c r="L172" s="526">
        <v>1174244.6299999999</v>
      </c>
      <c r="M172" s="559">
        <f t="shared" si="46"/>
        <v>0.36055461976563413</v>
      </c>
      <c r="N172" s="521">
        <f t="shared" si="53"/>
        <v>3256773.2199999997</v>
      </c>
      <c r="O172" s="664">
        <f t="shared" si="48"/>
        <v>237.65908979789907</v>
      </c>
    </row>
    <row r="173" spans="1:15" ht="15.6" hidden="1" customHeight="1" outlineLevel="1" x14ac:dyDescent="0.25">
      <c r="A173" s="503">
        <v>2010</v>
      </c>
      <c r="B173" s="504" t="s">
        <v>41</v>
      </c>
      <c r="C173" s="505">
        <v>14435</v>
      </c>
      <c r="D173" s="505">
        <v>17556</v>
      </c>
      <c r="E173" s="511">
        <v>24678.29</v>
      </c>
      <c r="F173" s="534">
        <f t="shared" ref="F173:F236" si="56">IF(E173=0,0,+E173/$I173)</f>
        <v>1</v>
      </c>
      <c r="G173" s="512">
        <v>0</v>
      </c>
      <c r="H173" s="534">
        <f t="shared" ref="H173:H236" si="57">IF(G173=0,0,+G173/$I173)</f>
        <v>0</v>
      </c>
      <c r="I173" s="518">
        <f t="shared" si="44"/>
        <v>24678.29</v>
      </c>
      <c r="J173" s="527">
        <v>7223425.8200000003</v>
      </c>
      <c r="K173" s="534">
        <f t="shared" si="45"/>
        <v>1</v>
      </c>
      <c r="L173" s="528">
        <v>0</v>
      </c>
      <c r="M173" s="560">
        <f t="shared" si="46"/>
        <v>0</v>
      </c>
      <c r="N173" s="522">
        <f t="shared" si="53"/>
        <v>7223425.8200000003</v>
      </c>
      <c r="O173" s="661">
        <f t="shared" si="48"/>
        <v>292.70366058588337</v>
      </c>
    </row>
    <row r="174" spans="1:15" ht="15.6" hidden="1" customHeight="1" outlineLevel="1" x14ac:dyDescent="0.25">
      <c r="A174" s="503">
        <v>2010</v>
      </c>
      <c r="B174" s="504" t="s">
        <v>21</v>
      </c>
      <c r="C174" s="505">
        <v>8700</v>
      </c>
      <c r="D174" s="505">
        <v>8785</v>
      </c>
      <c r="E174" s="511">
        <v>6617.93</v>
      </c>
      <c r="F174" s="534">
        <f t="shared" si="56"/>
        <v>0.96885943337666747</v>
      </c>
      <c r="G174" s="512">
        <v>212.71</v>
      </c>
      <c r="H174" s="534">
        <f t="shared" si="57"/>
        <v>3.1140566623332512E-2</v>
      </c>
      <c r="I174" s="518">
        <f t="shared" si="44"/>
        <v>6830.64</v>
      </c>
      <c r="J174" s="527">
        <v>1996576.71</v>
      </c>
      <c r="K174" s="534">
        <f t="shared" si="45"/>
        <v>0.9530617211946516</v>
      </c>
      <c r="L174" s="528">
        <v>98331.38</v>
      </c>
      <c r="M174" s="560">
        <f t="shared" si="46"/>
        <v>4.6938278805348455E-2</v>
      </c>
      <c r="N174" s="522">
        <f t="shared" si="53"/>
        <v>2094908.0899999999</v>
      </c>
      <c r="O174" s="661">
        <f t="shared" si="48"/>
        <v>306.69279745382568</v>
      </c>
    </row>
    <row r="175" spans="1:15" ht="15.6" hidden="1" customHeight="1" outlineLevel="1" x14ac:dyDescent="0.25">
      <c r="A175" s="503">
        <v>2010</v>
      </c>
      <c r="B175" s="504" t="s">
        <v>22</v>
      </c>
      <c r="C175" s="505">
        <v>61000</v>
      </c>
      <c r="D175" s="505">
        <v>58787</v>
      </c>
      <c r="E175" s="511">
        <v>81364.600000000006</v>
      </c>
      <c r="F175" s="534">
        <f t="shared" si="56"/>
        <v>0.98982614545582825</v>
      </c>
      <c r="G175" s="512">
        <v>836.3</v>
      </c>
      <c r="H175" s="534">
        <f t="shared" si="57"/>
        <v>1.0173854544171655E-2</v>
      </c>
      <c r="I175" s="518">
        <f t="shared" si="44"/>
        <v>82200.900000000009</v>
      </c>
      <c r="J175" s="527">
        <v>18540317.800000001</v>
      </c>
      <c r="K175" s="534">
        <f t="shared" si="45"/>
        <v>0.99390915516075129</v>
      </c>
      <c r="L175" s="528">
        <v>113618.23</v>
      </c>
      <c r="M175" s="560">
        <f t="shared" si="46"/>
        <v>6.0908448392486521E-3</v>
      </c>
      <c r="N175" s="522">
        <f t="shared" si="53"/>
        <v>18653936.030000001</v>
      </c>
      <c r="O175" s="661">
        <f t="shared" si="48"/>
        <v>226.93104369903492</v>
      </c>
    </row>
    <row r="176" spans="1:15" ht="15.6" hidden="1" customHeight="1" outlineLevel="1" x14ac:dyDescent="0.25">
      <c r="A176" s="503">
        <v>2010</v>
      </c>
      <c r="B176" s="504" t="s">
        <v>23</v>
      </c>
      <c r="C176" s="505">
        <v>62888</v>
      </c>
      <c r="D176" s="505">
        <v>67596</v>
      </c>
      <c r="E176" s="511">
        <v>92709.8</v>
      </c>
      <c r="F176" s="534">
        <f t="shared" si="56"/>
        <v>0.99965430928385524</v>
      </c>
      <c r="G176" s="512">
        <v>32.06</v>
      </c>
      <c r="H176" s="534">
        <f t="shared" si="57"/>
        <v>3.4569071614479159E-4</v>
      </c>
      <c r="I176" s="518">
        <f t="shared" si="44"/>
        <v>92741.86</v>
      </c>
      <c r="J176" s="527">
        <v>24051274.77</v>
      </c>
      <c r="K176" s="534">
        <f t="shared" si="45"/>
        <v>0.99970466216077059</v>
      </c>
      <c r="L176" s="528">
        <v>7105.35</v>
      </c>
      <c r="M176" s="560">
        <f t="shared" si="46"/>
        <v>2.9533783922938532E-4</v>
      </c>
      <c r="N176" s="522">
        <f t="shared" si="53"/>
        <v>24058380.120000001</v>
      </c>
      <c r="O176" s="661">
        <f t="shared" si="48"/>
        <v>259.41230982427999</v>
      </c>
    </row>
    <row r="177" spans="1:15" ht="15.6" hidden="1" customHeight="1" outlineLevel="1" x14ac:dyDescent="0.25">
      <c r="A177" s="503">
        <v>2010</v>
      </c>
      <c r="B177" s="504" t="s">
        <v>24</v>
      </c>
      <c r="C177" s="505">
        <v>34878</v>
      </c>
      <c r="D177" s="505">
        <v>38471</v>
      </c>
      <c r="E177" s="511">
        <v>40895.4</v>
      </c>
      <c r="F177" s="534">
        <f t="shared" si="56"/>
        <v>0.99344736833155434</v>
      </c>
      <c r="G177" s="512">
        <v>269.74</v>
      </c>
      <c r="H177" s="534">
        <f t="shared" si="57"/>
        <v>6.5526316684456805E-3</v>
      </c>
      <c r="I177" s="518">
        <f t="shared" si="44"/>
        <v>41165.14</v>
      </c>
      <c r="J177" s="527">
        <v>6565049.5800000001</v>
      </c>
      <c r="K177" s="534">
        <f t="shared" si="45"/>
        <v>0.99448194990719085</v>
      </c>
      <c r="L177" s="528">
        <v>36427.279999999999</v>
      </c>
      <c r="M177" s="560">
        <f t="shared" si="46"/>
        <v>5.5180500928090808E-3</v>
      </c>
      <c r="N177" s="522">
        <f t="shared" si="53"/>
        <v>6601476.8600000003</v>
      </c>
      <c r="O177" s="661">
        <f t="shared" si="48"/>
        <v>160.36570894693909</v>
      </c>
    </row>
    <row r="178" spans="1:15" ht="15.6" hidden="1" customHeight="1" outlineLevel="1" x14ac:dyDescent="0.25">
      <c r="A178" s="503">
        <v>2010</v>
      </c>
      <c r="B178" s="504" t="s">
        <v>25</v>
      </c>
      <c r="C178" s="505">
        <v>25120</v>
      </c>
      <c r="D178" s="505">
        <v>22832</v>
      </c>
      <c r="E178" s="511">
        <v>1728.99</v>
      </c>
      <c r="F178" s="534">
        <f t="shared" si="56"/>
        <v>9.7278000641397119E-2</v>
      </c>
      <c r="G178" s="512">
        <v>16044.71</v>
      </c>
      <c r="H178" s="534">
        <f t="shared" si="57"/>
        <v>0.90272199935860276</v>
      </c>
      <c r="I178" s="518">
        <f t="shared" si="44"/>
        <v>17773.7</v>
      </c>
      <c r="J178" s="527">
        <v>517011.27</v>
      </c>
      <c r="K178" s="534">
        <f t="shared" si="45"/>
        <v>7.4799137984912598E-2</v>
      </c>
      <c r="L178" s="528">
        <v>6394983.7599999998</v>
      </c>
      <c r="M178" s="560">
        <f t="shared" si="46"/>
        <v>0.92520086201508744</v>
      </c>
      <c r="N178" s="522">
        <f t="shared" si="53"/>
        <v>6911995.0299999993</v>
      </c>
      <c r="O178" s="661">
        <f t="shared" si="48"/>
        <v>388.88892183394563</v>
      </c>
    </row>
    <row r="179" spans="1:15" ht="15.6" hidden="1" customHeight="1" outlineLevel="1" x14ac:dyDescent="0.25">
      <c r="A179" s="503">
        <v>2010</v>
      </c>
      <c r="B179" s="504" t="s">
        <v>26</v>
      </c>
      <c r="C179" s="505">
        <v>3200</v>
      </c>
      <c r="D179" s="505">
        <v>2249</v>
      </c>
      <c r="E179" s="511">
        <v>1695.12</v>
      </c>
      <c r="F179" s="534">
        <f t="shared" si="56"/>
        <v>1</v>
      </c>
      <c r="G179" s="512">
        <v>0</v>
      </c>
      <c r="H179" s="534">
        <f t="shared" si="57"/>
        <v>0</v>
      </c>
      <c r="I179" s="518">
        <f t="shared" si="44"/>
        <v>1695.12</v>
      </c>
      <c r="J179" s="527">
        <v>406592.84</v>
      </c>
      <c r="K179" s="534">
        <f t="shared" si="45"/>
        <v>1</v>
      </c>
      <c r="L179" s="528">
        <v>0</v>
      </c>
      <c r="M179" s="560">
        <f t="shared" si="46"/>
        <v>0</v>
      </c>
      <c r="N179" s="522">
        <f t="shared" si="53"/>
        <v>406592.84</v>
      </c>
      <c r="O179" s="661">
        <f t="shared" si="48"/>
        <v>239.86080041530985</v>
      </c>
    </row>
    <row r="180" spans="1:15" ht="15.6" hidden="1" customHeight="1" outlineLevel="1" thickBot="1" x14ac:dyDescent="0.3">
      <c r="A180" s="506">
        <v>2010</v>
      </c>
      <c r="B180" s="507" t="s">
        <v>27</v>
      </c>
      <c r="C180" s="508">
        <v>6300</v>
      </c>
      <c r="D180" s="508">
        <v>7866</v>
      </c>
      <c r="E180" s="513">
        <v>8745.49</v>
      </c>
      <c r="F180" s="535">
        <f t="shared" si="56"/>
        <v>0.71892892579375745</v>
      </c>
      <c r="G180" s="514">
        <v>3419.12</v>
      </c>
      <c r="H180" s="535">
        <f t="shared" si="57"/>
        <v>0.2810710742062425</v>
      </c>
      <c r="I180" s="519">
        <f t="shared" si="44"/>
        <v>12164.61</v>
      </c>
      <c r="J180" s="529">
        <v>1438652.13</v>
      </c>
      <c r="K180" s="535">
        <f t="shared" si="45"/>
        <v>0.78360550682264396</v>
      </c>
      <c r="L180" s="530">
        <v>397287.15</v>
      </c>
      <c r="M180" s="561">
        <f t="shared" si="46"/>
        <v>0.2163944931773561</v>
      </c>
      <c r="N180" s="523">
        <f t="shared" si="53"/>
        <v>1835939.2799999998</v>
      </c>
      <c r="O180" s="662">
        <f t="shared" si="48"/>
        <v>150.92463136919307</v>
      </c>
    </row>
    <row r="181" spans="1:15" ht="14.4" collapsed="1" thickTop="1" thickBot="1" x14ac:dyDescent="0.3">
      <c r="A181" s="564">
        <v>2010</v>
      </c>
      <c r="B181" s="565" t="s">
        <v>28</v>
      </c>
      <c r="C181" s="566">
        <f>SUM(C172:C180)</f>
        <v>226621</v>
      </c>
      <c r="D181" s="566">
        <f>SUM(D172:D180)</f>
        <v>233250</v>
      </c>
      <c r="E181" s="515">
        <f>SUM(E172:E180)</f>
        <v>268142.3</v>
      </c>
      <c r="F181" s="533">
        <f t="shared" si="56"/>
        <v>0.91530572686526923</v>
      </c>
      <c r="G181" s="516">
        <f>SUM(G172:G180)</f>
        <v>24811.51</v>
      </c>
      <c r="H181" s="558">
        <f t="shared" si="57"/>
        <v>8.4694273134730685E-2</v>
      </c>
      <c r="I181" s="520">
        <f t="shared" si="44"/>
        <v>292953.81</v>
      </c>
      <c r="J181" s="531">
        <f>SUM(J172:J180)</f>
        <v>62821429.510000005</v>
      </c>
      <c r="K181" s="533">
        <f t="shared" si="45"/>
        <v>0.88426800207093448</v>
      </c>
      <c r="L181" s="532">
        <f>SUM(L172:L180)</f>
        <v>8221997.7800000003</v>
      </c>
      <c r="M181" s="562">
        <f t="shared" si="46"/>
        <v>0.11573199792906556</v>
      </c>
      <c r="N181" s="524">
        <f t="shared" si="53"/>
        <v>71043427.290000007</v>
      </c>
      <c r="O181" s="663">
        <f t="shared" si="48"/>
        <v>242.50726518968983</v>
      </c>
    </row>
    <row r="182" spans="1:15" ht="15.6" hidden="1" customHeight="1" outlineLevel="1" thickTop="1" x14ac:dyDescent="0.25">
      <c r="A182" s="500">
        <v>2011</v>
      </c>
      <c r="B182" s="501" t="s">
        <v>20</v>
      </c>
      <c r="C182" s="502">
        <v>10300</v>
      </c>
      <c r="D182" s="502">
        <v>8902</v>
      </c>
      <c r="E182" s="509">
        <v>4803</v>
      </c>
      <c r="F182" s="541">
        <f>IF(E182=0,0,+E182/$I182)</f>
        <v>0.77193828351012539</v>
      </c>
      <c r="G182" s="510">
        <v>1419</v>
      </c>
      <c r="H182" s="541">
        <f>IF(G182=0,0,+G182/$I182)</f>
        <v>0.22806171648987464</v>
      </c>
      <c r="I182" s="517">
        <f t="shared" ref="I182:I241" si="58">E182+G182</f>
        <v>6222</v>
      </c>
      <c r="J182" s="525">
        <v>1165162</v>
      </c>
      <c r="K182" s="541">
        <f t="shared" si="45"/>
        <v>0.74670342628338227</v>
      </c>
      <c r="L182" s="526">
        <v>395246</v>
      </c>
      <c r="M182" s="559">
        <f t="shared" si="46"/>
        <v>0.25329657371661768</v>
      </c>
      <c r="N182" s="521">
        <f t="shared" si="53"/>
        <v>1560408</v>
      </c>
      <c r="O182" s="664">
        <f t="shared" si="48"/>
        <v>250.78881388621022</v>
      </c>
    </row>
    <row r="183" spans="1:15" ht="15.6" hidden="1" customHeight="1" outlineLevel="1" x14ac:dyDescent="0.25">
      <c r="A183" s="503">
        <v>2011</v>
      </c>
      <c r="B183" s="504" t="s">
        <v>41</v>
      </c>
      <c r="C183" s="505">
        <v>14200</v>
      </c>
      <c r="D183" s="505">
        <v>14862</v>
      </c>
      <c r="E183" s="511">
        <v>28481.56</v>
      </c>
      <c r="F183" s="534">
        <f t="shared" si="56"/>
        <v>1</v>
      </c>
      <c r="G183" s="512">
        <v>0</v>
      </c>
      <c r="H183" s="534">
        <f t="shared" si="57"/>
        <v>0</v>
      </c>
      <c r="I183" s="518">
        <f t="shared" si="58"/>
        <v>28481.56</v>
      </c>
      <c r="J183" s="527">
        <v>9310323</v>
      </c>
      <c r="K183" s="534">
        <f t="shared" si="45"/>
        <v>1</v>
      </c>
      <c r="L183" s="528">
        <v>0</v>
      </c>
      <c r="M183" s="560">
        <f t="shared" si="46"/>
        <v>0</v>
      </c>
      <c r="N183" s="522">
        <f t="shared" si="53"/>
        <v>9310323</v>
      </c>
      <c r="O183" s="661">
        <f t="shared" si="48"/>
        <v>326.88950324350208</v>
      </c>
    </row>
    <row r="184" spans="1:15" ht="15.6" hidden="1" customHeight="1" outlineLevel="1" x14ac:dyDescent="0.25">
      <c r="A184" s="503">
        <v>2011</v>
      </c>
      <c r="B184" s="504" t="s">
        <v>21</v>
      </c>
      <c r="C184" s="505">
        <v>7000</v>
      </c>
      <c r="D184" s="505">
        <v>8039</v>
      </c>
      <c r="E184" s="511">
        <v>10387.75</v>
      </c>
      <c r="F184" s="534">
        <f t="shared" si="56"/>
        <v>0.98084622212150396</v>
      </c>
      <c r="G184" s="512">
        <v>202.85</v>
      </c>
      <c r="H184" s="534">
        <f t="shared" si="57"/>
        <v>1.9153777878496023E-2</v>
      </c>
      <c r="I184" s="518">
        <f t="shared" si="58"/>
        <v>10590.6</v>
      </c>
      <c r="J184" s="527">
        <v>2962911.06</v>
      </c>
      <c r="K184" s="534">
        <f t="shared" si="45"/>
        <v>0.96932610733717617</v>
      </c>
      <c r="L184" s="528">
        <v>93760</v>
      </c>
      <c r="M184" s="560">
        <f t="shared" si="46"/>
        <v>3.0673892662823849E-2</v>
      </c>
      <c r="N184" s="522">
        <f t="shared" si="53"/>
        <v>3056671.06</v>
      </c>
      <c r="O184" s="661">
        <f t="shared" si="48"/>
        <v>288.6211413895341</v>
      </c>
    </row>
    <row r="185" spans="1:15" ht="15.6" hidden="1" customHeight="1" outlineLevel="1" x14ac:dyDescent="0.25">
      <c r="A185" s="503">
        <v>2011</v>
      </c>
      <c r="B185" s="504" t="s">
        <v>22</v>
      </c>
      <c r="C185" s="505">
        <v>61491</v>
      </c>
      <c r="D185" s="505">
        <v>59578</v>
      </c>
      <c r="E185" s="511">
        <v>54652</v>
      </c>
      <c r="F185" s="534">
        <f t="shared" si="56"/>
        <v>0.99749949807443095</v>
      </c>
      <c r="G185" s="512">
        <v>137</v>
      </c>
      <c r="H185" s="534">
        <f t="shared" si="57"/>
        <v>2.5005019255690012E-3</v>
      </c>
      <c r="I185" s="518">
        <f t="shared" si="58"/>
        <v>54789</v>
      </c>
      <c r="J185" s="527">
        <v>15488399</v>
      </c>
      <c r="K185" s="534">
        <f t="shared" si="45"/>
        <v>0.99904375179853322</v>
      </c>
      <c r="L185" s="528">
        <v>14824.93</v>
      </c>
      <c r="M185" s="560">
        <f t="shared" si="46"/>
        <v>9.5624820146682872E-4</v>
      </c>
      <c r="N185" s="522">
        <f t="shared" si="53"/>
        <v>15503223.93</v>
      </c>
      <c r="O185" s="661">
        <f t="shared" si="48"/>
        <v>282.96234517877673</v>
      </c>
    </row>
    <row r="186" spans="1:15" ht="15.6" hidden="1" customHeight="1" outlineLevel="1" x14ac:dyDescent="0.25">
      <c r="A186" s="503">
        <v>2011</v>
      </c>
      <c r="B186" s="504" t="s">
        <v>23</v>
      </c>
      <c r="C186" s="505">
        <v>58742</v>
      </c>
      <c r="D186" s="505">
        <v>52691</v>
      </c>
      <c r="E186" s="511">
        <v>85948</v>
      </c>
      <c r="F186" s="534">
        <f t="shared" si="56"/>
        <v>0.99890751028567448</v>
      </c>
      <c r="G186" s="512">
        <v>94</v>
      </c>
      <c r="H186" s="534">
        <f t="shared" si="57"/>
        <v>1.0924897143255619E-3</v>
      </c>
      <c r="I186" s="518">
        <f t="shared" si="58"/>
        <v>86042</v>
      </c>
      <c r="J186" s="527">
        <v>27463572.739999998</v>
      </c>
      <c r="K186" s="534">
        <f t="shared" si="45"/>
        <v>0.9992402854101109</v>
      </c>
      <c r="L186" s="528">
        <v>20880.34</v>
      </c>
      <c r="M186" s="560">
        <f t="shared" si="46"/>
        <v>7.597145898891579E-4</v>
      </c>
      <c r="N186" s="522">
        <f t="shared" si="53"/>
        <v>27484453.079999998</v>
      </c>
      <c r="O186" s="661">
        <f t="shared" si="48"/>
        <v>319.43066269961179</v>
      </c>
    </row>
    <row r="187" spans="1:15" ht="15.6" hidden="1" customHeight="1" outlineLevel="1" x14ac:dyDescent="0.25">
      <c r="A187" s="503">
        <v>2011</v>
      </c>
      <c r="B187" s="504" t="s">
        <v>24</v>
      </c>
      <c r="C187" s="505">
        <v>50107</v>
      </c>
      <c r="D187" s="505">
        <v>47747</v>
      </c>
      <c r="E187" s="511">
        <v>33442.69</v>
      </c>
      <c r="F187" s="534">
        <f t="shared" si="56"/>
        <v>0.95127389051388267</v>
      </c>
      <c r="G187" s="512">
        <v>1713</v>
      </c>
      <c r="H187" s="534">
        <f t="shared" si="57"/>
        <v>4.8726109486117324E-2</v>
      </c>
      <c r="I187" s="518">
        <f t="shared" si="58"/>
        <v>35155.69</v>
      </c>
      <c r="J187" s="527">
        <v>7165526</v>
      </c>
      <c r="K187" s="534">
        <f t="shared" si="45"/>
        <v>0.95215233237149266</v>
      </c>
      <c r="L187" s="528">
        <v>360082.83</v>
      </c>
      <c r="M187" s="560">
        <f t="shared" si="46"/>
        <v>4.784766762850734E-2</v>
      </c>
      <c r="N187" s="522">
        <f t="shared" si="53"/>
        <v>7525608.8300000001</v>
      </c>
      <c r="O187" s="661">
        <f t="shared" si="48"/>
        <v>214.06517209589683</v>
      </c>
    </row>
    <row r="188" spans="1:15" ht="15.6" hidden="1" customHeight="1" outlineLevel="1" x14ac:dyDescent="0.25">
      <c r="A188" s="503">
        <v>2011</v>
      </c>
      <c r="B188" s="504" t="s">
        <v>25</v>
      </c>
      <c r="C188" s="505">
        <v>27614</v>
      </c>
      <c r="D188" s="505">
        <v>22445</v>
      </c>
      <c r="E188" s="511">
        <v>2671</v>
      </c>
      <c r="F188" s="534">
        <f t="shared" si="56"/>
        <v>8.7447616553169197E-2</v>
      </c>
      <c r="G188" s="512">
        <v>27873</v>
      </c>
      <c r="H188" s="534">
        <f t="shared" si="57"/>
        <v>0.91255238344683076</v>
      </c>
      <c r="I188" s="518">
        <f t="shared" si="58"/>
        <v>30544</v>
      </c>
      <c r="J188" s="527">
        <v>839591</v>
      </c>
      <c r="K188" s="534">
        <f t="shared" si="45"/>
        <v>7.3073959194075055E-2</v>
      </c>
      <c r="L188" s="528">
        <v>10650015</v>
      </c>
      <c r="M188" s="560">
        <f t="shared" si="46"/>
        <v>0.92692604080592489</v>
      </c>
      <c r="N188" s="522">
        <f t="shared" si="53"/>
        <v>11489606</v>
      </c>
      <c r="O188" s="661">
        <f t="shared" si="48"/>
        <v>376.16572812991097</v>
      </c>
    </row>
    <row r="189" spans="1:15" ht="15.6" hidden="1" customHeight="1" outlineLevel="1" x14ac:dyDescent="0.25">
      <c r="A189" s="503">
        <v>2011</v>
      </c>
      <c r="B189" s="504" t="s">
        <v>26</v>
      </c>
      <c r="C189" s="505">
        <v>1585</v>
      </c>
      <c r="D189" s="505">
        <v>2326</v>
      </c>
      <c r="E189" s="511">
        <v>1249.56</v>
      </c>
      <c r="F189" s="534">
        <f t="shared" si="56"/>
        <v>1</v>
      </c>
      <c r="G189" s="512">
        <v>0</v>
      </c>
      <c r="H189" s="534">
        <f t="shared" si="57"/>
        <v>0</v>
      </c>
      <c r="I189" s="518">
        <f t="shared" si="58"/>
        <v>1249.56</v>
      </c>
      <c r="J189" s="527">
        <v>129292.13</v>
      </c>
      <c r="K189" s="534">
        <f t="shared" si="45"/>
        <v>1</v>
      </c>
      <c r="L189" s="528">
        <v>0</v>
      </c>
      <c r="M189" s="560">
        <f t="shared" si="46"/>
        <v>0</v>
      </c>
      <c r="N189" s="522">
        <f t="shared" si="53"/>
        <v>129292.13</v>
      </c>
      <c r="O189" s="661">
        <f t="shared" si="48"/>
        <v>103.47012548417044</v>
      </c>
    </row>
    <row r="190" spans="1:15" ht="15.6" hidden="1" customHeight="1" outlineLevel="1" thickBot="1" x14ac:dyDescent="0.3">
      <c r="A190" s="506">
        <v>2011</v>
      </c>
      <c r="B190" s="507" t="s">
        <v>27</v>
      </c>
      <c r="C190" s="508">
        <v>4930</v>
      </c>
      <c r="D190" s="508">
        <v>14862</v>
      </c>
      <c r="E190" s="513">
        <v>17924</v>
      </c>
      <c r="F190" s="535">
        <f t="shared" si="56"/>
        <v>0.96360410730605883</v>
      </c>
      <c r="G190" s="514">
        <v>677</v>
      </c>
      <c r="H190" s="535">
        <f t="shared" si="57"/>
        <v>3.6395892693941188E-2</v>
      </c>
      <c r="I190" s="519">
        <f t="shared" si="58"/>
        <v>18601</v>
      </c>
      <c r="J190" s="529">
        <v>3502495</v>
      </c>
      <c r="K190" s="535">
        <f t="shared" si="45"/>
        <v>0.99007942393142212</v>
      </c>
      <c r="L190" s="530">
        <v>35094.93</v>
      </c>
      <c r="M190" s="561">
        <f t="shared" si="46"/>
        <v>9.9205760685778521E-3</v>
      </c>
      <c r="N190" s="523">
        <f t="shared" si="53"/>
        <v>3537589.93</v>
      </c>
      <c r="O190" s="662">
        <f t="shared" si="48"/>
        <v>190.18278210848879</v>
      </c>
    </row>
    <row r="191" spans="1:15" ht="14.4" collapsed="1" thickTop="1" thickBot="1" x14ac:dyDescent="0.3">
      <c r="A191" s="564">
        <v>2011</v>
      </c>
      <c r="B191" s="565" t="s">
        <v>28</v>
      </c>
      <c r="C191" s="566">
        <f>SUM(C182:C190)</f>
        <v>235969</v>
      </c>
      <c r="D191" s="566">
        <f>SUM(D182:D190)</f>
        <v>231452</v>
      </c>
      <c r="E191" s="515">
        <f t="shared" ref="E191:N191" si="59">SUM(E182:E190)</f>
        <v>239559.56</v>
      </c>
      <c r="F191" s="533">
        <f t="shared" si="56"/>
        <v>0.8817859518459914</v>
      </c>
      <c r="G191" s="516">
        <f t="shared" si="59"/>
        <v>32115.85</v>
      </c>
      <c r="H191" s="558">
        <f t="shared" si="57"/>
        <v>0.11821404815400847</v>
      </c>
      <c r="I191" s="520">
        <f t="shared" si="59"/>
        <v>271675.41000000003</v>
      </c>
      <c r="J191" s="531">
        <f t="shared" si="59"/>
        <v>68027271.930000007</v>
      </c>
      <c r="K191" s="533">
        <f t="shared" si="45"/>
        <v>0.85464428994548469</v>
      </c>
      <c r="L191" s="532">
        <f t="shared" si="59"/>
        <v>11569904.029999999</v>
      </c>
      <c r="M191" s="562">
        <f t="shared" si="46"/>
        <v>0.14535571005451534</v>
      </c>
      <c r="N191" s="524">
        <f t="shared" si="59"/>
        <v>79597175.960000008</v>
      </c>
      <c r="O191" s="663">
        <f t="shared" si="48"/>
        <v>292.98631024427277</v>
      </c>
    </row>
    <row r="192" spans="1:15" ht="15.6" hidden="1" customHeight="1" outlineLevel="1" thickTop="1" x14ac:dyDescent="0.25">
      <c r="A192" s="500">
        <v>2012</v>
      </c>
      <c r="B192" s="501" t="s">
        <v>20</v>
      </c>
      <c r="C192" s="502">
        <v>10500</v>
      </c>
      <c r="D192" s="502">
        <v>10318</v>
      </c>
      <c r="E192" s="509">
        <v>17321.14</v>
      </c>
      <c r="F192" s="541">
        <f>IF(E192=0,0,+E192/$I192)</f>
        <v>0.91193892727871007</v>
      </c>
      <c r="G192" s="510">
        <v>1672.61</v>
      </c>
      <c r="H192" s="541">
        <f>IF(G192=0,0,+G192/$I192)</f>
        <v>8.8061072721289893E-2</v>
      </c>
      <c r="I192" s="517">
        <f t="shared" si="58"/>
        <v>18993.75</v>
      </c>
      <c r="J192" s="525">
        <v>4595712.99</v>
      </c>
      <c r="K192" s="541">
        <f t="shared" si="45"/>
        <v>0.91484538625169853</v>
      </c>
      <c r="L192" s="526">
        <v>427773.01</v>
      </c>
      <c r="M192" s="559">
        <f t="shared" si="46"/>
        <v>8.515461374830148E-2</v>
      </c>
      <c r="N192" s="521">
        <f t="shared" ref="N192:N223" si="60">J192+L192</f>
        <v>5023486</v>
      </c>
      <c r="O192" s="664">
        <f t="shared" si="48"/>
        <v>264.48100032905563</v>
      </c>
    </row>
    <row r="193" spans="1:15" ht="15.6" hidden="1" customHeight="1" outlineLevel="1" x14ac:dyDescent="0.25">
      <c r="A193" s="503">
        <v>2012</v>
      </c>
      <c r="B193" s="504" t="s">
        <v>41</v>
      </c>
      <c r="C193" s="505">
        <v>11300</v>
      </c>
      <c r="D193" s="505">
        <v>12946</v>
      </c>
      <c r="E193" s="511">
        <v>19227.53</v>
      </c>
      <c r="F193" s="534">
        <f t="shared" si="56"/>
        <v>1</v>
      </c>
      <c r="G193" s="512">
        <v>0</v>
      </c>
      <c r="H193" s="534">
        <f t="shared" si="57"/>
        <v>0</v>
      </c>
      <c r="I193" s="518">
        <f t="shared" si="58"/>
        <v>19227.53</v>
      </c>
      <c r="J193" s="527">
        <v>6595758.5199999996</v>
      </c>
      <c r="K193" s="534">
        <f t="shared" si="45"/>
        <v>1</v>
      </c>
      <c r="L193" s="528">
        <v>0</v>
      </c>
      <c r="M193" s="560">
        <f t="shared" si="46"/>
        <v>0</v>
      </c>
      <c r="N193" s="522">
        <f t="shared" si="60"/>
        <v>6595758.5199999996</v>
      </c>
      <c r="O193" s="661">
        <f t="shared" si="48"/>
        <v>343.03722423004933</v>
      </c>
    </row>
    <row r="194" spans="1:15" ht="15.6" hidden="1" customHeight="1" outlineLevel="1" x14ac:dyDescent="0.25">
      <c r="A194" s="503">
        <v>2012</v>
      </c>
      <c r="B194" s="504" t="s">
        <v>21</v>
      </c>
      <c r="C194" s="505">
        <v>5000</v>
      </c>
      <c r="D194" s="505">
        <v>5184</v>
      </c>
      <c r="E194" s="511">
        <v>24644.720000000001</v>
      </c>
      <c r="F194" s="534">
        <f t="shared" si="56"/>
        <v>1</v>
      </c>
      <c r="G194" s="512">
        <v>0</v>
      </c>
      <c r="H194" s="534">
        <f t="shared" si="57"/>
        <v>0</v>
      </c>
      <c r="I194" s="518">
        <f t="shared" si="58"/>
        <v>24644.720000000001</v>
      </c>
      <c r="J194" s="527">
        <v>8742109.4900000002</v>
      </c>
      <c r="K194" s="534">
        <f t="shared" ref="K194:K241" si="61">IF(J194=0,0,+J194/$N194)</f>
        <v>1</v>
      </c>
      <c r="L194" s="528">
        <v>0</v>
      </c>
      <c r="M194" s="560">
        <f t="shared" ref="M194:M241" si="62">IF(L194=0,0,+L194/$N194)</f>
        <v>0</v>
      </c>
      <c r="N194" s="522">
        <f t="shared" si="60"/>
        <v>8742109.4900000002</v>
      </c>
      <c r="O194" s="661">
        <f t="shared" si="48"/>
        <v>354.72545397147945</v>
      </c>
    </row>
    <row r="195" spans="1:15" ht="15.6" hidden="1" customHeight="1" outlineLevel="1" x14ac:dyDescent="0.25">
      <c r="A195" s="503">
        <v>2012</v>
      </c>
      <c r="B195" s="504" t="s">
        <v>22</v>
      </c>
      <c r="C195" s="505">
        <v>71824</v>
      </c>
      <c r="D195" s="505">
        <v>70275</v>
      </c>
      <c r="E195" s="511">
        <v>47491.59</v>
      </c>
      <c r="F195" s="534">
        <f t="shared" si="56"/>
        <v>0.99501878718624648</v>
      </c>
      <c r="G195" s="512">
        <v>237.75</v>
      </c>
      <c r="H195" s="534">
        <f t="shared" si="57"/>
        <v>4.9812128137535529E-3</v>
      </c>
      <c r="I195" s="518">
        <f t="shared" si="58"/>
        <v>47729.34</v>
      </c>
      <c r="J195" s="527">
        <v>15202999.109999999</v>
      </c>
      <c r="K195" s="534">
        <f t="shared" si="61"/>
        <v>0.99502030823281851</v>
      </c>
      <c r="L195" s="528">
        <v>76085.13</v>
      </c>
      <c r="M195" s="560">
        <f t="shared" si="62"/>
        <v>4.9796917671814604E-3</v>
      </c>
      <c r="N195" s="522">
        <f t="shared" si="60"/>
        <v>15279084.24</v>
      </c>
      <c r="O195" s="661">
        <f t="shared" ref="O195:O241" si="63">+IF(I195=0,0,N195/I195)</f>
        <v>320.11932785997044</v>
      </c>
    </row>
    <row r="196" spans="1:15" ht="15.6" hidden="1" customHeight="1" outlineLevel="1" x14ac:dyDescent="0.25">
      <c r="A196" s="503">
        <v>2012</v>
      </c>
      <c r="B196" s="504" t="s">
        <v>23</v>
      </c>
      <c r="C196" s="505">
        <v>62190</v>
      </c>
      <c r="D196" s="505">
        <v>61169</v>
      </c>
      <c r="E196" s="511">
        <v>62432.04</v>
      </c>
      <c r="F196" s="534">
        <f t="shared" si="56"/>
        <v>1</v>
      </c>
      <c r="G196" s="512">
        <v>0</v>
      </c>
      <c r="H196" s="534">
        <f t="shared" si="57"/>
        <v>0</v>
      </c>
      <c r="I196" s="518">
        <f t="shared" si="58"/>
        <v>62432.04</v>
      </c>
      <c r="J196" s="527">
        <v>22765394.449999999</v>
      </c>
      <c r="K196" s="534">
        <f t="shared" si="61"/>
        <v>1</v>
      </c>
      <c r="L196" s="528">
        <v>0</v>
      </c>
      <c r="M196" s="560">
        <f t="shared" si="62"/>
        <v>0</v>
      </c>
      <c r="N196" s="522">
        <f t="shared" si="60"/>
        <v>22765394.449999999</v>
      </c>
      <c r="O196" s="661">
        <f t="shared" si="63"/>
        <v>364.64280920501716</v>
      </c>
    </row>
    <row r="197" spans="1:15" ht="15.6" hidden="1" customHeight="1" outlineLevel="1" x14ac:dyDescent="0.25">
      <c r="A197" s="503">
        <v>2012</v>
      </c>
      <c r="B197" s="504" t="s">
        <v>24</v>
      </c>
      <c r="C197" s="505">
        <v>49027</v>
      </c>
      <c r="D197" s="505">
        <v>50716</v>
      </c>
      <c r="E197" s="511">
        <v>43288.14</v>
      </c>
      <c r="F197" s="534">
        <f t="shared" si="56"/>
        <v>1</v>
      </c>
      <c r="G197" s="512">
        <v>0</v>
      </c>
      <c r="H197" s="534">
        <f t="shared" si="57"/>
        <v>0</v>
      </c>
      <c r="I197" s="518">
        <f t="shared" si="58"/>
        <v>43288.14</v>
      </c>
      <c r="J197" s="527">
        <v>9901084.5600000005</v>
      </c>
      <c r="K197" s="534">
        <f t="shared" si="61"/>
        <v>1</v>
      </c>
      <c r="L197" s="528">
        <v>0</v>
      </c>
      <c r="M197" s="560">
        <f t="shared" si="62"/>
        <v>0</v>
      </c>
      <c r="N197" s="522">
        <f t="shared" si="60"/>
        <v>9901084.5600000005</v>
      </c>
      <c r="O197" s="661">
        <f t="shared" si="63"/>
        <v>228.72510946416273</v>
      </c>
    </row>
    <row r="198" spans="1:15" ht="15.6" hidden="1" customHeight="1" outlineLevel="1" x14ac:dyDescent="0.25">
      <c r="A198" s="503">
        <v>2012</v>
      </c>
      <c r="B198" s="504" t="s">
        <v>25</v>
      </c>
      <c r="C198" s="505"/>
      <c r="D198" s="505"/>
      <c r="E198" s="511">
        <v>880.8</v>
      </c>
      <c r="F198" s="534">
        <f t="shared" si="56"/>
        <v>2.9938074276199128E-2</v>
      </c>
      <c r="G198" s="512">
        <v>28539.93</v>
      </c>
      <c r="H198" s="534">
        <f t="shared" si="57"/>
        <v>0.9700619257238009</v>
      </c>
      <c r="I198" s="518">
        <f t="shared" si="58"/>
        <v>29420.73</v>
      </c>
      <c r="J198" s="527">
        <v>296468.65000000002</v>
      </c>
      <c r="K198" s="534">
        <f t="shared" si="61"/>
        <v>2.6385560863930582E-2</v>
      </c>
      <c r="L198" s="528">
        <v>10939549.85</v>
      </c>
      <c r="M198" s="560">
        <f t="shared" si="62"/>
        <v>0.97361443913606938</v>
      </c>
      <c r="N198" s="522">
        <f t="shared" si="60"/>
        <v>11236018.5</v>
      </c>
      <c r="O198" s="661">
        <f t="shared" si="63"/>
        <v>381.90821573767886</v>
      </c>
    </row>
    <row r="199" spans="1:15" ht="15.6" hidden="1" customHeight="1" outlineLevel="1" x14ac:dyDescent="0.25">
      <c r="A199" s="503">
        <v>2012</v>
      </c>
      <c r="B199" s="504" t="s">
        <v>26</v>
      </c>
      <c r="C199" s="505">
        <v>2000</v>
      </c>
      <c r="D199" s="505">
        <v>1458</v>
      </c>
      <c r="E199" s="511">
        <v>1680.51</v>
      </c>
      <c r="F199" s="534">
        <f t="shared" si="56"/>
        <v>0.52511670926737197</v>
      </c>
      <c r="G199" s="512">
        <v>1519.75</v>
      </c>
      <c r="H199" s="534">
        <f t="shared" si="57"/>
        <v>0.47488329073262792</v>
      </c>
      <c r="I199" s="518">
        <f t="shared" si="58"/>
        <v>3200.26</v>
      </c>
      <c r="J199" s="527">
        <v>353375.26</v>
      </c>
      <c r="K199" s="534">
        <f t="shared" si="61"/>
        <v>0.4019295698892138</v>
      </c>
      <c r="L199" s="528">
        <v>525821.71</v>
      </c>
      <c r="M199" s="560">
        <f t="shared" si="62"/>
        <v>0.5980704301107862</v>
      </c>
      <c r="N199" s="522">
        <f t="shared" si="60"/>
        <v>879196.97</v>
      </c>
      <c r="O199" s="661">
        <f t="shared" si="63"/>
        <v>274.72673157805923</v>
      </c>
    </row>
    <row r="200" spans="1:15" ht="15.6" hidden="1" customHeight="1" outlineLevel="1" thickBot="1" x14ac:dyDescent="0.3">
      <c r="A200" s="506">
        <v>2012</v>
      </c>
      <c r="B200" s="507" t="s">
        <v>27</v>
      </c>
      <c r="C200" s="508">
        <v>3600</v>
      </c>
      <c r="D200" s="508">
        <v>2658</v>
      </c>
      <c r="E200" s="513">
        <v>13725</v>
      </c>
      <c r="F200" s="535">
        <f t="shared" si="56"/>
        <v>0.9800120386178296</v>
      </c>
      <c r="G200" s="514">
        <v>279.93</v>
      </c>
      <c r="H200" s="535">
        <f t="shared" si="57"/>
        <v>1.9987961382170422E-2</v>
      </c>
      <c r="I200" s="519">
        <f t="shared" si="58"/>
        <v>14004.93</v>
      </c>
      <c r="J200" s="529">
        <v>2858409.9</v>
      </c>
      <c r="K200" s="535">
        <f t="shared" si="61"/>
        <v>0.98781784019243113</v>
      </c>
      <c r="L200" s="530">
        <v>35251.040000000001</v>
      </c>
      <c r="M200" s="561">
        <f t="shared" si="62"/>
        <v>1.2182159807568886E-2</v>
      </c>
      <c r="N200" s="523">
        <f t="shared" si="60"/>
        <v>2893660.94</v>
      </c>
      <c r="O200" s="662">
        <f t="shared" si="63"/>
        <v>206.61730833356538</v>
      </c>
    </row>
    <row r="201" spans="1:15" ht="14.4" collapsed="1" thickTop="1" thickBot="1" x14ac:dyDescent="0.3">
      <c r="A201" s="564">
        <v>2012</v>
      </c>
      <c r="B201" s="565" t="s">
        <v>28</v>
      </c>
      <c r="C201" s="566">
        <f>SUM(C192:C200)</f>
        <v>215441</v>
      </c>
      <c r="D201" s="566">
        <f>SUM(D192:D200)</f>
        <v>214724</v>
      </c>
      <c r="E201" s="515">
        <f>SUM(E192:E200)</f>
        <v>230691.46999999997</v>
      </c>
      <c r="F201" s="533">
        <f t="shared" si="56"/>
        <v>0.87734923030770662</v>
      </c>
      <c r="G201" s="516">
        <f>SUM(G192:G200)</f>
        <v>32249.97</v>
      </c>
      <c r="H201" s="558">
        <f t="shared" si="57"/>
        <v>0.12265076969229349</v>
      </c>
      <c r="I201" s="520">
        <f t="shared" si="58"/>
        <v>262941.43999999994</v>
      </c>
      <c r="J201" s="531">
        <f>SUM(J192:J200)</f>
        <v>71311312.930000022</v>
      </c>
      <c r="K201" s="533">
        <f t="shared" si="61"/>
        <v>0.85591590488175939</v>
      </c>
      <c r="L201" s="532">
        <f>SUM(L192:L200)</f>
        <v>12004480.739999998</v>
      </c>
      <c r="M201" s="562">
        <f t="shared" si="62"/>
        <v>0.14408409511824069</v>
      </c>
      <c r="N201" s="524">
        <f t="shared" si="60"/>
        <v>83315793.670000017</v>
      </c>
      <c r="O201" s="663">
        <f t="shared" si="63"/>
        <v>316.86064269671618</v>
      </c>
    </row>
    <row r="202" spans="1:15" ht="15.6" hidden="1" customHeight="1" outlineLevel="1" thickTop="1" x14ac:dyDescent="0.25">
      <c r="A202" s="500">
        <v>2013</v>
      </c>
      <c r="B202" s="501" t="s">
        <v>20</v>
      </c>
      <c r="C202" s="502">
        <v>10025</v>
      </c>
      <c r="D202" s="502">
        <v>8703</v>
      </c>
      <c r="E202" s="509">
        <v>11231.11</v>
      </c>
      <c r="F202" s="541">
        <f>IF(E202=0,0,+E202/$I202)</f>
        <v>0.90101524675189226</v>
      </c>
      <c r="G202" s="510">
        <v>1233.8399999999999</v>
      </c>
      <c r="H202" s="541">
        <f>IF(G202=0,0,+G202/$I202)</f>
        <v>9.8984753248107682E-2</v>
      </c>
      <c r="I202" s="517">
        <f t="shared" si="58"/>
        <v>12464.95</v>
      </c>
      <c r="J202" s="525">
        <v>3898131.93</v>
      </c>
      <c r="K202" s="541">
        <f t="shared" si="61"/>
        <v>0.89409170799751281</v>
      </c>
      <c r="L202" s="526">
        <v>461747.37</v>
      </c>
      <c r="M202" s="559">
        <f t="shared" si="62"/>
        <v>0.10590829200248732</v>
      </c>
      <c r="N202" s="521">
        <f t="shared" si="60"/>
        <v>4359879.3</v>
      </c>
      <c r="O202" s="664">
        <f t="shared" si="63"/>
        <v>349.77110217048602</v>
      </c>
    </row>
    <row r="203" spans="1:15" ht="15.6" hidden="1" customHeight="1" outlineLevel="1" x14ac:dyDescent="0.25">
      <c r="A203" s="503">
        <v>2013</v>
      </c>
      <c r="B203" s="504" t="s">
        <v>41</v>
      </c>
      <c r="C203" s="505">
        <v>13900</v>
      </c>
      <c r="D203" s="505">
        <v>19094</v>
      </c>
      <c r="E203" s="511">
        <v>4432.34</v>
      </c>
      <c r="F203" s="534">
        <f t="shared" si="56"/>
        <v>0.80641663361436888</v>
      </c>
      <c r="G203" s="512">
        <v>1064</v>
      </c>
      <c r="H203" s="534">
        <f t="shared" si="57"/>
        <v>0.19358336638563117</v>
      </c>
      <c r="I203" s="518">
        <f t="shared" si="58"/>
        <v>5496.34</v>
      </c>
      <c r="J203" s="527">
        <v>1961035.36</v>
      </c>
      <c r="K203" s="534">
        <f t="shared" si="61"/>
        <v>0.79163005460501867</v>
      </c>
      <c r="L203" s="528">
        <v>516176.5</v>
      </c>
      <c r="M203" s="560">
        <f t="shared" si="62"/>
        <v>0.20836994539498124</v>
      </c>
      <c r="N203" s="522">
        <f t="shared" si="60"/>
        <v>2477211.8600000003</v>
      </c>
      <c r="O203" s="661">
        <f t="shared" si="63"/>
        <v>450.70207811016064</v>
      </c>
    </row>
    <row r="204" spans="1:15" ht="15.6" hidden="1" customHeight="1" outlineLevel="1" x14ac:dyDescent="0.25">
      <c r="A204" s="503">
        <v>2013</v>
      </c>
      <c r="B204" s="504" t="s">
        <v>21</v>
      </c>
      <c r="C204" s="505">
        <v>6400</v>
      </c>
      <c r="D204" s="505">
        <v>7742</v>
      </c>
      <c r="E204" s="511">
        <v>13740.77</v>
      </c>
      <c r="F204" s="534">
        <f t="shared" si="56"/>
        <v>1</v>
      </c>
      <c r="G204" s="512">
        <v>0</v>
      </c>
      <c r="H204" s="534">
        <f t="shared" si="57"/>
        <v>0</v>
      </c>
      <c r="I204" s="518">
        <f t="shared" si="58"/>
        <v>13740.77</v>
      </c>
      <c r="J204" s="527">
        <v>5396401.2999999998</v>
      </c>
      <c r="K204" s="534">
        <f t="shared" si="61"/>
        <v>1</v>
      </c>
      <c r="L204" s="528">
        <v>0</v>
      </c>
      <c r="M204" s="560">
        <f t="shared" si="62"/>
        <v>0</v>
      </c>
      <c r="N204" s="522">
        <f t="shared" si="60"/>
        <v>5396401.2999999998</v>
      </c>
      <c r="O204" s="661">
        <f t="shared" si="63"/>
        <v>392.72917747695357</v>
      </c>
    </row>
    <row r="205" spans="1:15" ht="15.6" hidden="1" customHeight="1" outlineLevel="1" x14ac:dyDescent="0.25">
      <c r="A205" s="503">
        <v>2013</v>
      </c>
      <c r="B205" s="504" t="s">
        <v>22</v>
      </c>
      <c r="C205" s="505">
        <v>68500</v>
      </c>
      <c r="D205" s="505">
        <v>75708</v>
      </c>
      <c r="E205" s="511">
        <v>76419.740000000005</v>
      </c>
      <c r="F205" s="534">
        <f t="shared" si="56"/>
        <v>0.99965596648302513</v>
      </c>
      <c r="G205" s="512">
        <v>26.3</v>
      </c>
      <c r="H205" s="534">
        <f t="shared" si="57"/>
        <v>3.4403351697484915E-4</v>
      </c>
      <c r="I205" s="518">
        <f t="shared" si="58"/>
        <v>76446.040000000008</v>
      </c>
      <c r="J205" s="527">
        <v>27216044.73</v>
      </c>
      <c r="K205" s="534">
        <f t="shared" si="61"/>
        <v>0.99963675406543728</v>
      </c>
      <c r="L205" s="528">
        <v>9889.7099999999991</v>
      </c>
      <c r="M205" s="560">
        <f t="shared" si="62"/>
        <v>3.6324593456267789E-4</v>
      </c>
      <c r="N205" s="522">
        <f t="shared" si="60"/>
        <v>27225934.440000001</v>
      </c>
      <c r="O205" s="661">
        <f t="shared" si="63"/>
        <v>356.14577864334109</v>
      </c>
    </row>
    <row r="206" spans="1:15" ht="15.6" hidden="1" customHeight="1" outlineLevel="1" x14ac:dyDescent="0.25">
      <c r="A206" s="503">
        <v>2013</v>
      </c>
      <c r="B206" s="504" t="s">
        <v>23</v>
      </c>
      <c r="C206" s="505">
        <v>61900</v>
      </c>
      <c r="D206" s="505">
        <v>64494</v>
      </c>
      <c r="E206" s="511">
        <v>67024.72</v>
      </c>
      <c r="F206" s="534">
        <f t="shared" si="56"/>
        <v>1</v>
      </c>
      <c r="G206" s="512">
        <v>0</v>
      </c>
      <c r="H206" s="534">
        <f t="shared" si="57"/>
        <v>0</v>
      </c>
      <c r="I206" s="518">
        <f t="shared" si="58"/>
        <v>67024.72</v>
      </c>
      <c r="J206" s="527">
        <v>27448426.219999999</v>
      </c>
      <c r="K206" s="534">
        <f t="shared" si="61"/>
        <v>1</v>
      </c>
      <c r="L206" s="528">
        <v>0</v>
      </c>
      <c r="M206" s="560">
        <f t="shared" si="62"/>
        <v>0</v>
      </c>
      <c r="N206" s="522">
        <f t="shared" si="60"/>
        <v>27448426.219999999</v>
      </c>
      <c r="O206" s="661">
        <f t="shared" si="63"/>
        <v>409.52690619222278</v>
      </c>
    </row>
    <row r="207" spans="1:15" ht="15.6" hidden="1" customHeight="1" outlineLevel="1" x14ac:dyDescent="0.25">
      <c r="A207" s="503">
        <v>2013</v>
      </c>
      <c r="B207" s="504" t="s">
        <v>24</v>
      </c>
      <c r="C207" s="505">
        <v>49000</v>
      </c>
      <c r="D207" s="505">
        <v>41281</v>
      </c>
      <c r="E207" s="511">
        <v>44428.3</v>
      </c>
      <c r="F207" s="534">
        <f t="shared" si="56"/>
        <v>1</v>
      </c>
      <c r="G207" s="512">
        <v>0</v>
      </c>
      <c r="H207" s="534">
        <f t="shared" si="57"/>
        <v>0</v>
      </c>
      <c r="I207" s="518">
        <f t="shared" si="58"/>
        <v>44428.3</v>
      </c>
      <c r="J207" s="527">
        <v>11053621.6</v>
      </c>
      <c r="K207" s="534">
        <f t="shared" si="61"/>
        <v>1</v>
      </c>
      <c r="L207" s="528">
        <v>0</v>
      </c>
      <c r="M207" s="560">
        <f t="shared" si="62"/>
        <v>0</v>
      </c>
      <c r="N207" s="522">
        <f t="shared" si="60"/>
        <v>11053621.6</v>
      </c>
      <c r="O207" s="661">
        <f t="shared" si="63"/>
        <v>248.79686145992528</v>
      </c>
    </row>
    <row r="208" spans="1:15" ht="15.6" hidden="1" customHeight="1" outlineLevel="1" x14ac:dyDescent="0.25">
      <c r="A208" s="503">
        <v>2013</v>
      </c>
      <c r="B208" s="504" t="s">
        <v>25</v>
      </c>
      <c r="C208" s="505">
        <v>13956</v>
      </c>
      <c r="D208" s="505">
        <v>11458</v>
      </c>
      <c r="E208" s="511">
        <v>0</v>
      </c>
      <c r="F208" s="534">
        <f t="shared" si="56"/>
        <v>0</v>
      </c>
      <c r="G208" s="512">
        <v>4514.2700000000004</v>
      </c>
      <c r="H208" s="534">
        <f t="shared" si="57"/>
        <v>1</v>
      </c>
      <c r="I208" s="518">
        <f t="shared" si="58"/>
        <v>4514.2700000000004</v>
      </c>
      <c r="J208" s="527">
        <v>0</v>
      </c>
      <c r="K208" s="534">
        <f t="shared" si="61"/>
        <v>0</v>
      </c>
      <c r="L208" s="528">
        <v>1672545.78</v>
      </c>
      <c r="M208" s="560">
        <f t="shared" si="62"/>
        <v>1</v>
      </c>
      <c r="N208" s="522">
        <f t="shared" si="60"/>
        <v>1672545.78</v>
      </c>
      <c r="O208" s="661">
        <f t="shared" si="63"/>
        <v>370.50193719028766</v>
      </c>
    </row>
    <row r="209" spans="1:15" ht="15.6" hidden="1" customHeight="1" outlineLevel="1" x14ac:dyDescent="0.25">
      <c r="A209" s="503">
        <v>2013</v>
      </c>
      <c r="B209" s="504" t="s">
        <v>26</v>
      </c>
      <c r="C209" s="505">
        <v>2126</v>
      </c>
      <c r="D209" s="505">
        <v>2149</v>
      </c>
      <c r="E209" s="511">
        <v>1310.91</v>
      </c>
      <c r="F209" s="534">
        <f t="shared" si="56"/>
        <v>0.34479212420733141</v>
      </c>
      <c r="G209" s="512">
        <v>2491.12</v>
      </c>
      <c r="H209" s="534">
        <f t="shared" si="57"/>
        <v>0.6552078757926687</v>
      </c>
      <c r="I209" s="518">
        <f t="shared" si="58"/>
        <v>3802.0299999999997</v>
      </c>
      <c r="J209" s="527">
        <v>216206.77</v>
      </c>
      <c r="K209" s="534">
        <f t="shared" si="61"/>
        <v>0.23074178332306747</v>
      </c>
      <c r="L209" s="528">
        <v>720800.68</v>
      </c>
      <c r="M209" s="560">
        <f t="shared" si="62"/>
        <v>0.7692582166769325</v>
      </c>
      <c r="N209" s="522">
        <f t="shared" si="60"/>
        <v>937007.45000000007</v>
      </c>
      <c r="O209" s="661">
        <f t="shared" si="63"/>
        <v>246.44925211005702</v>
      </c>
    </row>
    <row r="210" spans="1:15" ht="15.6" hidden="1" customHeight="1" outlineLevel="1" thickBot="1" x14ac:dyDescent="0.3">
      <c r="A210" s="506">
        <v>2013</v>
      </c>
      <c r="B210" s="507" t="s">
        <v>27</v>
      </c>
      <c r="C210" s="508">
        <v>14087</v>
      </c>
      <c r="D210" s="508">
        <v>11042</v>
      </c>
      <c r="E210" s="513">
        <f>10465.23+434.65</f>
        <v>10899.88</v>
      </c>
      <c r="F210" s="535">
        <f t="shared" si="56"/>
        <v>0.86188292654383503</v>
      </c>
      <c r="G210" s="514">
        <v>1746.71</v>
      </c>
      <c r="H210" s="535">
        <f t="shared" si="57"/>
        <v>0.13811707345616486</v>
      </c>
      <c r="I210" s="519">
        <f t="shared" si="58"/>
        <v>12646.59</v>
      </c>
      <c r="J210" s="529">
        <f>2036296.08+40230.88</f>
        <v>2076526.96</v>
      </c>
      <c r="K210" s="535">
        <f t="shared" si="61"/>
        <v>0.90504268943552779</v>
      </c>
      <c r="L210" s="530">
        <v>217869.74</v>
      </c>
      <c r="M210" s="561">
        <f t="shared" si="62"/>
        <v>9.4957310564472125E-2</v>
      </c>
      <c r="N210" s="523">
        <f t="shared" si="60"/>
        <v>2294396.7000000002</v>
      </c>
      <c r="O210" s="662">
        <f t="shared" si="63"/>
        <v>181.42413883900721</v>
      </c>
    </row>
    <row r="211" spans="1:15" ht="14.4" thickTop="1" thickBot="1" x14ac:dyDescent="0.3">
      <c r="A211" s="564">
        <v>2013</v>
      </c>
      <c r="B211" s="565" t="s">
        <v>28</v>
      </c>
      <c r="C211" s="566">
        <f>SUM(C202:C210)</f>
        <v>239894</v>
      </c>
      <c r="D211" s="566">
        <f>SUM(D202:D210)</f>
        <v>241671</v>
      </c>
      <c r="E211" s="515">
        <f>SUM(E202:E210)</f>
        <v>229487.77</v>
      </c>
      <c r="F211" s="533">
        <f t="shared" si="56"/>
        <v>0.9539572024925923</v>
      </c>
      <c r="G211" s="516">
        <f>SUM(G202:G210)</f>
        <v>11076.240000000002</v>
      </c>
      <c r="H211" s="558">
        <f t="shared" si="57"/>
        <v>4.6042797507407709E-2</v>
      </c>
      <c r="I211" s="520">
        <f t="shared" si="58"/>
        <v>240564.00999999998</v>
      </c>
      <c r="J211" s="531">
        <f>SUM(J202:J210)</f>
        <v>79266394.86999999</v>
      </c>
      <c r="K211" s="533">
        <f t="shared" si="61"/>
        <v>0.95656777485662714</v>
      </c>
      <c r="L211" s="532">
        <f>SUM(L202:L210)</f>
        <v>3599029.7800000003</v>
      </c>
      <c r="M211" s="562">
        <f t="shared" si="62"/>
        <v>4.3432225143372881E-2</v>
      </c>
      <c r="N211" s="524">
        <f t="shared" si="60"/>
        <v>82865424.649999991</v>
      </c>
      <c r="O211" s="663">
        <f t="shared" si="63"/>
        <v>344.46310007053842</v>
      </c>
    </row>
    <row r="212" spans="1:15" ht="15.6" customHeight="1" outlineLevel="1" thickTop="1" x14ac:dyDescent="0.25">
      <c r="A212" s="500">
        <v>2014</v>
      </c>
      <c r="B212" s="501" t="s">
        <v>20</v>
      </c>
      <c r="C212" s="502">
        <v>9114</v>
      </c>
      <c r="D212" s="502">
        <v>6871</v>
      </c>
      <c r="E212" s="509">
        <v>3536.28</v>
      </c>
      <c r="F212" s="541">
        <f>IF(E212=0,0,+E212/$I212)</f>
        <v>0.78404019218106002</v>
      </c>
      <c r="G212" s="510">
        <v>974.05</v>
      </c>
      <c r="H212" s="541">
        <f>IF(G212=0,0,+G212/$I212)</f>
        <v>0.21595980781894006</v>
      </c>
      <c r="I212" s="517">
        <f t="shared" si="58"/>
        <v>4510.33</v>
      </c>
      <c r="J212" s="525">
        <v>1237335.56</v>
      </c>
      <c r="K212" s="541">
        <f t="shared" si="61"/>
        <v>0.79456015302173566</v>
      </c>
      <c r="L212" s="526">
        <v>319922.95</v>
      </c>
      <c r="M212" s="559">
        <f t="shared" si="62"/>
        <v>0.2054398469782644</v>
      </c>
      <c r="N212" s="521">
        <f t="shared" si="60"/>
        <v>1557258.51</v>
      </c>
      <c r="O212" s="664">
        <f t="shared" si="63"/>
        <v>345.26487197167393</v>
      </c>
    </row>
    <row r="213" spans="1:15" ht="15.6" customHeight="1" outlineLevel="1" x14ac:dyDescent="0.25">
      <c r="A213" s="503">
        <v>2014</v>
      </c>
      <c r="B213" s="504" t="s">
        <v>41</v>
      </c>
      <c r="C213" s="505">
        <v>20600</v>
      </c>
      <c r="D213" s="505">
        <v>22278</v>
      </c>
      <c r="E213" s="511">
        <v>22156.29</v>
      </c>
      <c r="F213" s="534">
        <f t="shared" si="56"/>
        <v>1</v>
      </c>
      <c r="G213" s="512">
        <v>0</v>
      </c>
      <c r="H213" s="534">
        <f t="shared" si="57"/>
        <v>0</v>
      </c>
      <c r="I213" s="518">
        <f t="shared" si="58"/>
        <v>22156.29</v>
      </c>
      <c r="J213" s="527">
        <v>10263169.5</v>
      </c>
      <c r="K213" s="534">
        <f t="shared" si="61"/>
        <v>1</v>
      </c>
      <c r="L213" s="528">
        <v>0</v>
      </c>
      <c r="M213" s="560">
        <f t="shared" si="62"/>
        <v>0</v>
      </c>
      <c r="N213" s="522">
        <f t="shared" si="60"/>
        <v>10263169.5</v>
      </c>
      <c r="O213" s="661">
        <f t="shared" si="63"/>
        <v>463.21696908643099</v>
      </c>
    </row>
    <row r="214" spans="1:15" ht="15.6" customHeight="1" outlineLevel="1" x14ac:dyDescent="0.25">
      <c r="A214" s="503">
        <v>2014</v>
      </c>
      <c r="B214" s="504" t="s">
        <v>21</v>
      </c>
      <c r="C214" s="505">
        <v>7493</v>
      </c>
      <c r="D214" s="505">
        <v>7423</v>
      </c>
      <c r="E214" s="511">
        <v>8482.6</v>
      </c>
      <c r="F214" s="534">
        <f t="shared" si="56"/>
        <v>0.77250013887990843</v>
      </c>
      <c r="G214" s="512">
        <v>2498.11</v>
      </c>
      <c r="H214" s="534">
        <f t="shared" si="57"/>
        <v>0.22749986112009149</v>
      </c>
      <c r="I214" s="518">
        <f t="shared" si="58"/>
        <v>10980.710000000001</v>
      </c>
      <c r="J214" s="527">
        <v>4219214.87</v>
      </c>
      <c r="K214" s="534">
        <f t="shared" si="61"/>
        <v>0.80032896037194379</v>
      </c>
      <c r="L214" s="528">
        <v>1052635.93</v>
      </c>
      <c r="M214" s="560">
        <f t="shared" si="62"/>
        <v>0.19967103962805624</v>
      </c>
      <c r="N214" s="522">
        <f t="shared" si="60"/>
        <v>5271850.8</v>
      </c>
      <c r="O214" s="661">
        <f t="shared" si="63"/>
        <v>480.10108635962513</v>
      </c>
    </row>
    <row r="215" spans="1:15" ht="15.6" customHeight="1" outlineLevel="1" x14ac:dyDescent="0.25">
      <c r="A215" s="503">
        <v>2014</v>
      </c>
      <c r="B215" s="504" t="s">
        <v>22</v>
      </c>
      <c r="C215" s="505">
        <v>64948</v>
      </c>
      <c r="D215" s="505">
        <v>73096</v>
      </c>
      <c r="E215" s="511">
        <v>60902.99</v>
      </c>
      <c r="F215" s="534">
        <f t="shared" si="56"/>
        <v>0.99985109681071371</v>
      </c>
      <c r="G215" s="512">
        <v>9.07</v>
      </c>
      <c r="H215" s="534">
        <f t="shared" si="57"/>
        <v>1.4890318928632526E-4</v>
      </c>
      <c r="I215" s="518">
        <f t="shared" si="58"/>
        <v>60912.06</v>
      </c>
      <c r="J215" s="527">
        <v>21694907.600000001</v>
      </c>
      <c r="K215" s="534">
        <f t="shared" si="61"/>
        <v>0.99991861517343816</v>
      </c>
      <c r="L215" s="528">
        <v>1765.78</v>
      </c>
      <c r="M215" s="560">
        <f t="shared" si="62"/>
        <v>8.1384826561831192E-5</v>
      </c>
      <c r="N215" s="522">
        <f t="shared" si="60"/>
        <v>21696673.380000003</v>
      </c>
      <c r="O215" s="661">
        <f t="shared" si="63"/>
        <v>356.19667730823755</v>
      </c>
    </row>
    <row r="216" spans="1:15" ht="15.6" customHeight="1" outlineLevel="1" x14ac:dyDescent="0.25">
      <c r="A216" s="503">
        <v>2014</v>
      </c>
      <c r="B216" s="504" t="s">
        <v>23</v>
      </c>
      <c r="C216" s="505">
        <v>56100</v>
      </c>
      <c r="D216" s="505">
        <v>57038</v>
      </c>
      <c r="E216" s="511">
        <v>66373.16</v>
      </c>
      <c r="F216" s="534">
        <f t="shared" si="56"/>
        <v>1</v>
      </c>
      <c r="G216" s="512">
        <v>0</v>
      </c>
      <c r="H216" s="534">
        <f t="shared" si="57"/>
        <v>0</v>
      </c>
      <c r="I216" s="518">
        <f t="shared" si="58"/>
        <v>66373.16</v>
      </c>
      <c r="J216" s="527">
        <v>29019094.149999999</v>
      </c>
      <c r="K216" s="534">
        <f t="shared" si="61"/>
        <v>1</v>
      </c>
      <c r="L216" s="528">
        <v>0</v>
      </c>
      <c r="M216" s="560">
        <f t="shared" si="62"/>
        <v>0</v>
      </c>
      <c r="N216" s="522">
        <f t="shared" si="60"/>
        <v>29019094.149999999</v>
      </c>
      <c r="O216" s="661">
        <f t="shared" si="63"/>
        <v>437.21127862527561</v>
      </c>
    </row>
    <row r="217" spans="1:15" ht="15.6" customHeight="1" outlineLevel="1" x14ac:dyDescent="0.25">
      <c r="A217" s="503">
        <v>2014</v>
      </c>
      <c r="B217" s="504" t="s">
        <v>24</v>
      </c>
      <c r="C217" s="505">
        <v>50900</v>
      </c>
      <c r="D217" s="505">
        <v>33096</v>
      </c>
      <c r="E217" s="511">
        <v>49880.4</v>
      </c>
      <c r="F217" s="534">
        <f t="shared" si="56"/>
        <v>1</v>
      </c>
      <c r="G217" s="512">
        <v>0</v>
      </c>
      <c r="H217" s="534">
        <f t="shared" si="57"/>
        <v>0</v>
      </c>
      <c r="I217" s="518">
        <f t="shared" si="58"/>
        <v>49880.4</v>
      </c>
      <c r="J217" s="527">
        <v>12674732.25</v>
      </c>
      <c r="K217" s="534">
        <f t="shared" si="61"/>
        <v>1</v>
      </c>
      <c r="L217" s="528">
        <v>0</v>
      </c>
      <c r="M217" s="560">
        <f t="shared" si="62"/>
        <v>0</v>
      </c>
      <c r="N217" s="522">
        <f t="shared" si="60"/>
        <v>12674732.25</v>
      </c>
      <c r="O217" s="661">
        <f t="shared" si="63"/>
        <v>254.10245807972669</v>
      </c>
    </row>
    <row r="218" spans="1:15" ht="15.6" customHeight="1" outlineLevel="1" x14ac:dyDescent="0.25">
      <c r="A218" s="503">
        <v>2014</v>
      </c>
      <c r="B218" s="504" t="s">
        <v>25</v>
      </c>
      <c r="C218" s="505">
        <v>10300</v>
      </c>
      <c r="D218" s="505">
        <v>6703</v>
      </c>
      <c r="E218" s="511">
        <v>0</v>
      </c>
      <c r="F218" s="534">
        <f t="shared" si="56"/>
        <v>0</v>
      </c>
      <c r="G218" s="512">
        <v>6956.86</v>
      </c>
      <c r="H218" s="534">
        <f t="shared" si="57"/>
        <v>1</v>
      </c>
      <c r="I218" s="518">
        <f t="shared" si="58"/>
        <v>6956.86</v>
      </c>
      <c r="J218" s="527">
        <v>0</v>
      </c>
      <c r="K218" s="534">
        <f t="shared" si="61"/>
        <v>0</v>
      </c>
      <c r="L218" s="528">
        <v>2524725.08</v>
      </c>
      <c r="M218" s="560">
        <f t="shared" si="62"/>
        <v>1</v>
      </c>
      <c r="N218" s="522">
        <f t="shared" si="60"/>
        <v>2524725.08</v>
      </c>
      <c r="O218" s="661">
        <f t="shared" si="63"/>
        <v>362.91158367424384</v>
      </c>
    </row>
    <row r="219" spans="1:15" ht="15.6" customHeight="1" outlineLevel="1" x14ac:dyDescent="0.25">
      <c r="A219" s="503">
        <v>2014</v>
      </c>
      <c r="B219" s="504" t="s">
        <v>26</v>
      </c>
      <c r="C219" s="505">
        <v>1730</v>
      </c>
      <c r="D219" s="505">
        <v>1936</v>
      </c>
      <c r="E219" s="511">
        <v>766.71</v>
      </c>
      <c r="F219" s="534">
        <f t="shared" si="56"/>
        <v>0.59350229130542476</v>
      </c>
      <c r="G219" s="512">
        <v>525.13</v>
      </c>
      <c r="H219" s="534">
        <f t="shared" si="57"/>
        <v>0.40649770869457513</v>
      </c>
      <c r="I219" s="518">
        <f t="shared" si="58"/>
        <v>1291.8400000000001</v>
      </c>
      <c r="J219" s="527">
        <v>227422.5</v>
      </c>
      <c r="K219" s="534">
        <f t="shared" si="61"/>
        <v>0.63788409255674416</v>
      </c>
      <c r="L219" s="528">
        <v>129103.87</v>
      </c>
      <c r="M219" s="560">
        <f t="shared" si="62"/>
        <v>0.36211590744325589</v>
      </c>
      <c r="N219" s="522">
        <f t="shared" si="60"/>
        <v>356526.37</v>
      </c>
      <c r="O219" s="661">
        <f t="shared" si="63"/>
        <v>275.98338029477333</v>
      </c>
    </row>
    <row r="220" spans="1:15" ht="15.6" customHeight="1" outlineLevel="1" thickBot="1" x14ac:dyDescent="0.3">
      <c r="A220" s="506">
        <v>2014</v>
      </c>
      <c r="B220" s="507" t="s">
        <v>27</v>
      </c>
      <c r="C220" s="508">
        <v>4322</v>
      </c>
      <c r="D220" s="508">
        <v>3456</v>
      </c>
      <c r="E220" s="513">
        <v>8760.4699999999993</v>
      </c>
      <c r="F220" s="535">
        <f t="shared" si="56"/>
        <v>1</v>
      </c>
      <c r="G220" s="514">
        <v>0</v>
      </c>
      <c r="H220" s="535">
        <f t="shared" si="57"/>
        <v>0</v>
      </c>
      <c r="I220" s="519">
        <f t="shared" si="58"/>
        <v>8760.4699999999993</v>
      </c>
      <c r="J220" s="529">
        <v>1834287.62</v>
      </c>
      <c r="K220" s="535">
        <f t="shared" si="61"/>
        <v>1</v>
      </c>
      <c r="L220" s="530">
        <v>0</v>
      </c>
      <c r="M220" s="561">
        <f t="shared" si="62"/>
        <v>0</v>
      </c>
      <c r="N220" s="523">
        <f t="shared" si="60"/>
        <v>1834287.62</v>
      </c>
      <c r="O220" s="662">
        <f t="shared" si="63"/>
        <v>209.38232994348479</v>
      </c>
    </row>
    <row r="221" spans="1:15" ht="13.2" customHeight="1" thickTop="1" thickBot="1" x14ac:dyDescent="0.3">
      <c r="A221" s="564">
        <v>2014</v>
      </c>
      <c r="B221" s="565" t="s">
        <v>28</v>
      </c>
      <c r="C221" s="566">
        <f>SUM(C212:C220)</f>
        <v>225507</v>
      </c>
      <c r="D221" s="566">
        <f>SUM(D212:D220)</f>
        <v>211897</v>
      </c>
      <c r="E221" s="515">
        <f>SUM(E212:E220)</f>
        <v>220858.9</v>
      </c>
      <c r="F221" s="533">
        <f t="shared" si="56"/>
        <v>0.95270848183081058</v>
      </c>
      <c r="G221" s="516">
        <f>SUM(G212:G220)</f>
        <v>10963.22</v>
      </c>
      <c r="H221" s="558">
        <f t="shared" si="57"/>
        <v>4.7291518169189375E-2</v>
      </c>
      <c r="I221" s="520">
        <f t="shared" si="58"/>
        <v>231822.12</v>
      </c>
      <c r="J221" s="531">
        <f>SUM(J212:J220)</f>
        <v>81170164.050000012</v>
      </c>
      <c r="K221" s="533">
        <f t="shared" si="61"/>
        <v>0.9527202681856336</v>
      </c>
      <c r="L221" s="532">
        <f>SUM(L212:L220)</f>
        <v>4028153.6100000003</v>
      </c>
      <c r="M221" s="562">
        <f t="shared" si="62"/>
        <v>4.7279731814366434E-2</v>
      </c>
      <c r="N221" s="524">
        <f t="shared" si="60"/>
        <v>85198317.660000011</v>
      </c>
      <c r="O221" s="663">
        <f t="shared" si="63"/>
        <v>367.51591116499156</v>
      </c>
    </row>
    <row r="222" spans="1:15" ht="15.6" customHeight="1" outlineLevel="1" thickTop="1" x14ac:dyDescent="0.25">
      <c r="A222" s="500">
        <v>2015</v>
      </c>
      <c r="B222" s="501" t="s">
        <v>20</v>
      </c>
      <c r="C222" s="502">
        <v>13200</v>
      </c>
      <c r="D222" s="502">
        <v>14424</v>
      </c>
      <c r="E222" s="703">
        <v>11993</v>
      </c>
      <c r="F222" s="541">
        <f>IF(E222=0,0,+E222/$I222)</f>
        <v>0.92431599229287087</v>
      </c>
      <c r="G222" s="706">
        <v>982</v>
      </c>
      <c r="H222" s="541">
        <f>IF(G222=0,0,+G222/$I222)</f>
        <v>7.5684007707129089E-2</v>
      </c>
      <c r="I222" s="517">
        <f t="shared" si="58"/>
        <v>12975</v>
      </c>
      <c r="J222" s="709">
        <v>3526025</v>
      </c>
      <c r="K222" s="541">
        <f t="shared" si="61"/>
        <v>0.94940151240796511</v>
      </c>
      <c r="L222" s="712">
        <v>187920</v>
      </c>
      <c r="M222" s="559">
        <f t="shared" si="62"/>
        <v>5.0598487592034884E-2</v>
      </c>
      <c r="N222" s="521">
        <f t="shared" si="60"/>
        <v>3713945</v>
      </c>
      <c r="O222" s="664">
        <f t="shared" si="63"/>
        <v>286.23853564547204</v>
      </c>
    </row>
    <row r="223" spans="1:15" ht="15.6" customHeight="1" outlineLevel="1" x14ac:dyDescent="0.25">
      <c r="A223" s="503">
        <v>2015</v>
      </c>
      <c r="B223" s="504" t="s">
        <v>41</v>
      </c>
      <c r="C223" s="505">
        <v>19000</v>
      </c>
      <c r="D223" s="505">
        <v>18854</v>
      </c>
      <c r="E223" s="704">
        <v>18354</v>
      </c>
      <c r="F223" s="534">
        <f t="shared" si="56"/>
        <v>0.9760689215060625</v>
      </c>
      <c r="G223" s="707">
        <v>450</v>
      </c>
      <c r="H223" s="534">
        <f t="shared" si="57"/>
        <v>2.3931078493937462E-2</v>
      </c>
      <c r="I223" s="518">
        <f t="shared" si="58"/>
        <v>18804</v>
      </c>
      <c r="J223" s="710">
        <v>8852579</v>
      </c>
      <c r="K223" s="534">
        <f t="shared" si="61"/>
        <v>0.97294185206250294</v>
      </c>
      <c r="L223" s="713">
        <v>246196</v>
      </c>
      <c r="M223" s="560">
        <f t="shared" si="62"/>
        <v>2.7058147937497081E-2</v>
      </c>
      <c r="N223" s="522">
        <f t="shared" si="60"/>
        <v>9098775</v>
      </c>
      <c r="O223" s="661">
        <f t="shared" si="63"/>
        <v>483.87444160816847</v>
      </c>
    </row>
    <row r="224" spans="1:15" ht="15.6" customHeight="1" outlineLevel="1" x14ac:dyDescent="0.25">
      <c r="A224" s="503">
        <v>2015</v>
      </c>
      <c r="B224" s="504" t="s">
        <v>21</v>
      </c>
      <c r="C224" s="505">
        <v>6500</v>
      </c>
      <c r="D224" s="505">
        <v>6799</v>
      </c>
      <c r="E224" s="704">
        <v>4534</v>
      </c>
      <c r="F224" s="534">
        <f t="shared" si="56"/>
        <v>0.57038621210215124</v>
      </c>
      <c r="G224" s="707">
        <v>3415</v>
      </c>
      <c r="H224" s="534">
        <f t="shared" si="57"/>
        <v>0.42961378789784876</v>
      </c>
      <c r="I224" s="518">
        <f t="shared" si="58"/>
        <v>7949</v>
      </c>
      <c r="J224" s="710">
        <v>2045850</v>
      </c>
      <c r="K224" s="534">
        <f t="shared" si="61"/>
        <v>0.58541204182998452</v>
      </c>
      <c r="L224" s="713">
        <v>1448868</v>
      </c>
      <c r="M224" s="560">
        <f t="shared" si="62"/>
        <v>0.41458795817001542</v>
      </c>
      <c r="N224" s="522">
        <f t="shared" ref="N224:N241" si="64">J224+L224</f>
        <v>3494718</v>
      </c>
      <c r="O224" s="661">
        <f t="shared" si="63"/>
        <v>439.64247075103788</v>
      </c>
    </row>
    <row r="225" spans="1:15" ht="15.6" customHeight="1" outlineLevel="1" x14ac:dyDescent="0.25">
      <c r="A225" s="503">
        <v>2015</v>
      </c>
      <c r="B225" s="504" t="s">
        <v>22</v>
      </c>
      <c r="C225" s="505">
        <v>73030</v>
      </c>
      <c r="D225" s="505">
        <v>78601</v>
      </c>
      <c r="E225" s="704">
        <v>79509</v>
      </c>
      <c r="F225" s="534">
        <f t="shared" si="56"/>
        <v>0.99787896282537214</v>
      </c>
      <c r="G225" s="707">
        <v>169</v>
      </c>
      <c r="H225" s="534">
        <f t="shared" si="57"/>
        <v>2.1210371746278774E-3</v>
      </c>
      <c r="I225" s="518">
        <f t="shared" si="58"/>
        <v>79678</v>
      </c>
      <c r="J225" s="710">
        <v>33715645</v>
      </c>
      <c r="K225" s="534">
        <f t="shared" si="61"/>
        <v>0.99774091393982667</v>
      </c>
      <c r="L225" s="713">
        <v>76339</v>
      </c>
      <c r="M225" s="560">
        <f t="shared" si="62"/>
        <v>2.2590860601733238E-3</v>
      </c>
      <c r="N225" s="522">
        <f t="shared" si="64"/>
        <v>33791984</v>
      </c>
      <c r="O225" s="661">
        <f t="shared" si="63"/>
        <v>424.10682999071264</v>
      </c>
    </row>
    <row r="226" spans="1:15" ht="15.6" customHeight="1" outlineLevel="1" x14ac:dyDescent="0.25">
      <c r="A226" s="503">
        <v>2015</v>
      </c>
      <c r="B226" s="504" t="s">
        <v>23</v>
      </c>
      <c r="C226" s="505">
        <v>56600</v>
      </c>
      <c r="D226" s="505">
        <v>64910</v>
      </c>
      <c r="E226" s="704">
        <v>69154.53</v>
      </c>
      <c r="F226" s="534">
        <f t="shared" si="56"/>
        <v>1</v>
      </c>
      <c r="G226" s="707">
        <v>0</v>
      </c>
      <c r="H226" s="534">
        <f t="shared" si="57"/>
        <v>0</v>
      </c>
      <c r="I226" s="518">
        <f t="shared" si="58"/>
        <v>69154.53</v>
      </c>
      <c r="J226" s="710">
        <v>32083431</v>
      </c>
      <c r="K226" s="534">
        <f t="shared" si="61"/>
        <v>1</v>
      </c>
      <c r="L226" s="713">
        <v>0</v>
      </c>
      <c r="M226" s="560">
        <f t="shared" si="62"/>
        <v>0</v>
      </c>
      <c r="N226" s="522">
        <f t="shared" si="64"/>
        <v>32083431</v>
      </c>
      <c r="O226" s="661">
        <f t="shared" si="63"/>
        <v>463.93824092217818</v>
      </c>
    </row>
    <row r="227" spans="1:15" ht="15.6" customHeight="1" outlineLevel="1" x14ac:dyDescent="0.25">
      <c r="A227" s="503">
        <v>2015</v>
      </c>
      <c r="B227" s="504" t="s">
        <v>24</v>
      </c>
      <c r="C227" s="505">
        <v>47000</v>
      </c>
      <c r="D227" s="505">
        <v>36088</v>
      </c>
      <c r="E227" s="704">
        <v>57908</v>
      </c>
      <c r="F227" s="534">
        <f t="shared" si="56"/>
        <v>0.99429945054945057</v>
      </c>
      <c r="G227" s="707">
        <v>332</v>
      </c>
      <c r="H227" s="534">
        <f t="shared" si="57"/>
        <v>5.7005494505494502E-3</v>
      </c>
      <c r="I227" s="518">
        <f t="shared" si="58"/>
        <v>58240</v>
      </c>
      <c r="J227" s="710">
        <v>13843052</v>
      </c>
      <c r="K227" s="534">
        <f t="shared" si="61"/>
        <v>0.99518047759856654</v>
      </c>
      <c r="L227" s="713">
        <v>67040</v>
      </c>
      <c r="M227" s="560">
        <f t="shared" si="62"/>
        <v>4.8195224014334339E-3</v>
      </c>
      <c r="N227" s="522">
        <f t="shared" si="64"/>
        <v>13910092</v>
      </c>
      <c r="O227" s="661">
        <f t="shared" si="63"/>
        <v>238.8408653846154</v>
      </c>
    </row>
    <row r="228" spans="1:15" ht="15.6" customHeight="1" outlineLevel="1" x14ac:dyDescent="0.25">
      <c r="A228" s="503">
        <v>2015</v>
      </c>
      <c r="B228" s="504" t="s">
        <v>25</v>
      </c>
      <c r="C228" s="505">
        <v>13000</v>
      </c>
      <c r="D228" s="505">
        <v>1961</v>
      </c>
      <c r="E228" s="704">
        <v>35</v>
      </c>
      <c r="F228" s="534">
        <f t="shared" si="56"/>
        <v>4.2224635058511284E-3</v>
      </c>
      <c r="G228" s="707">
        <v>8254</v>
      </c>
      <c r="H228" s="534">
        <f t="shared" si="57"/>
        <v>0.99577753649414891</v>
      </c>
      <c r="I228" s="518">
        <f t="shared" si="58"/>
        <v>8289</v>
      </c>
      <c r="J228" s="710">
        <v>15832</v>
      </c>
      <c r="K228" s="534">
        <f t="shared" si="61"/>
        <v>4.3880351209107113E-3</v>
      </c>
      <c r="L228" s="713">
        <v>3592161</v>
      </c>
      <c r="M228" s="560">
        <f t="shared" si="62"/>
        <v>0.99561196487908932</v>
      </c>
      <c r="N228" s="522">
        <f t="shared" si="64"/>
        <v>3607993</v>
      </c>
      <c r="O228" s="661">
        <f t="shared" si="63"/>
        <v>435.2748220533237</v>
      </c>
    </row>
    <row r="229" spans="1:15" ht="15.6" customHeight="1" outlineLevel="1" x14ac:dyDescent="0.25">
      <c r="A229" s="503">
        <v>2015</v>
      </c>
      <c r="B229" s="504" t="s">
        <v>26</v>
      </c>
      <c r="C229" s="505">
        <v>1662</v>
      </c>
      <c r="D229" s="505">
        <v>1447</v>
      </c>
      <c r="E229" s="704">
        <v>1312</v>
      </c>
      <c r="F229" s="534">
        <f t="shared" si="56"/>
        <v>0.82154038822792741</v>
      </c>
      <c r="G229" s="707">
        <v>285</v>
      </c>
      <c r="H229" s="534">
        <f t="shared" si="57"/>
        <v>0.17845961177207265</v>
      </c>
      <c r="I229" s="518">
        <f t="shared" si="58"/>
        <v>1597</v>
      </c>
      <c r="J229" s="710">
        <v>290916</v>
      </c>
      <c r="K229" s="534">
        <f t="shared" si="61"/>
        <v>0.78134333168604031</v>
      </c>
      <c r="L229" s="713">
        <v>81412</v>
      </c>
      <c r="M229" s="560">
        <f t="shared" si="62"/>
        <v>0.21865666831395975</v>
      </c>
      <c r="N229" s="522">
        <f t="shared" si="64"/>
        <v>372328</v>
      </c>
      <c r="O229" s="661">
        <f t="shared" si="63"/>
        <v>233.14214151534125</v>
      </c>
    </row>
    <row r="230" spans="1:15" ht="15.6" customHeight="1" outlineLevel="1" thickBot="1" x14ac:dyDescent="0.3">
      <c r="A230" s="506">
        <v>2015</v>
      </c>
      <c r="B230" s="507" t="s">
        <v>27</v>
      </c>
      <c r="C230" s="508">
        <v>8000</v>
      </c>
      <c r="D230" s="508">
        <v>5532</v>
      </c>
      <c r="E230" s="705">
        <v>16102</v>
      </c>
      <c r="F230" s="535">
        <f t="shared" si="56"/>
        <v>0.92074565416285448</v>
      </c>
      <c r="G230" s="708">
        <v>1386</v>
      </c>
      <c r="H230" s="535">
        <f t="shared" si="57"/>
        <v>7.9254345837145468E-2</v>
      </c>
      <c r="I230" s="519">
        <f t="shared" si="58"/>
        <v>17488</v>
      </c>
      <c r="J230" s="711">
        <v>3197762</v>
      </c>
      <c r="K230" s="535">
        <f t="shared" si="61"/>
        <v>0.92463598061647567</v>
      </c>
      <c r="L230" s="714">
        <v>260639</v>
      </c>
      <c r="M230" s="561">
        <f t="shared" si="62"/>
        <v>7.5364019383524355E-2</v>
      </c>
      <c r="N230" s="523">
        <f t="shared" si="64"/>
        <v>3458401</v>
      </c>
      <c r="O230" s="662">
        <f t="shared" si="63"/>
        <v>197.75852012808784</v>
      </c>
    </row>
    <row r="231" spans="1:15" ht="16.2" customHeight="1" thickTop="1" thickBot="1" x14ac:dyDescent="0.3">
      <c r="A231" s="564">
        <v>2015</v>
      </c>
      <c r="B231" s="565" t="s">
        <v>28</v>
      </c>
      <c r="C231" s="566">
        <f>SUM(C222:C230)</f>
        <v>237992</v>
      </c>
      <c r="D231" s="566">
        <f>SUM(D222:D230)</f>
        <v>228616</v>
      </c>
      <c r="E231" s="515">
        <f>SUM(E222:E230)</f>
        <v>258901.53</v>
      </c>
      <c r="F231" s="533">
        <f t="shared" si="56"/>
        <v>0.9442946067966268</v>
      </c>
      <c r="G231" s="516">
        <f>SUM(G222:G230)</f>
        <v>15273</v>
      </c>
      <c r="H231" s="558">
        <f t="shared" si="57"/>
        <v>5.570539320337304E-2</v>
      </c>
      <c r="I231" s="520">
        <f t="shared" si="58"/>
        <v>274174.53000000003</v>
      </c>
      <c r="J231" s="531">
        <f>SUM(J222:J230)</f>
        <v>97571092</v>
      </c>
      <c r="K231" s="533">
        <f t="shared" si="61"/>
        <v>0.94242751833600824</v>
      </c>
      <c r="L231" s="532">
        <f>SUM(L222:L230)</f>
        <v>5960575</v>
      </c>
      <c r="M231" s="562">
        <f t="shared" si="62"/>
        <v>5.7572481663991752E-2</v>
      </c>
      <c r="N231" s="524">
        <f t="shared" si="64"/>
        <v>103531667</v>
      </c>
      <c r="O231" s="663">
        <f t="shared" si="63"/>
        <v>377.61227127844438</v>
      </c>
    </row>
    <row r="232" spans="1:15" ht="15.6" customHeight="1" outlineLevel="1" thickTop="1" x14ac:dyDescent="0.25">
      <c r="A232" s="500">
        <v>2016</v>
      </c>
      <c r="B232" s="501" t="s">
        <v>20</v>
      </c>
      <c r="C232" s="502">
        <v>13200</v>
      </c>
      <c r="D232" s="502"/>
      <c r="E232" s="509"/>
      <c r="F232" s="541">
        <f>IF(E232=0,0,+E232/$I232)</f>
        <v>0</v>
      </c>
      <c r="G232" s="510"/>
      <c r="H232" s="541">
        <f>IF(G232=0,0,+G232/$I232)</f>
        <v>0</v>
      </c>
      <c r="I232" s="517">
        <f t="shared" si="58"/>
        <v>0</v>
      </c>
      <c r="J232" s="525"/>
      <c r="K232" s="541">
        <f t="shared" si="61"/>
        <v>0</v>
      </c>
      <c r="L232" s="526"/>
      <c r="M232" s="559">
        <f t="shared" si="62"/>
        <v>0</v>
      </c>
      <c r="N232" s="521">
        <f t="shared" si="64"/>
        <v>0</v>
      </c>
      <c r="O232" s="664">
        <f t="shared" si="63"/>
        <v>0</v>
      </c>
    </row>
    <row r="233" spans="1:15" ht="15.6" customHeight="1" outlineLevel="1" x14ac:dyDescent="0.25">
      <c r="A233" s="503">
        <v>2016</v>
      </c>
      <c r="B233" s="504" t="s">
        <v>41</v>
      </c>
      <c r="C233" s="505">
        <v>21000</v>
      </c>
      <c r="D233" s="505"/>
      <c r="E233" s="511"/>
      <c r="F233" s="534">
        <f t="shared" si="56"/>
        <v>0</v>
      </c>
      <c r="G233" s="512"/>
      <c r="H233" s="534">
        <f t="shared" si="57"/>
        <v>0</v>
      </c>
      <c r="I233" s="518">
        <f t="shared" si="58"/>
        <v>0</v>
      </c>
      <c r="J233" s="527"/>
      <c r="K233" s="534">
        <f t="shared" si="61"/>
        <v>0</v>
      </c>
      <c r="L233" s="528"/>
      <c r="M233" s="560">
        <f t="shared" si="62"/>
        <v>0</v>
      </c>
      <c r="N233" s="522">
        <f t="shared" si="64"/>
        <v>0</v>
      </c>
      <c r="O233" s="661">
        <f t="shared" si="63"/>
        <v>0</v>
      </c>
    </row>
    <row r="234" spans="1:15" ht="15.6" customHeight="1" outlineLevel="1" x14ac:dyDescent="0.25">
      <c r="A234" s="503">
        <v>2016</v>
      </c>
      <c r="B234" s="504" t="s">
        <v>21</v>
      </c>
      <c r="C234" s="505">
        <v>7200</v>
      </c>
      <c r="D234" s="505"/>
      <c r="E234" s="511"/>
      <c r="F234" s="534">
        <f t="shared" si="56"/>
        <v>0</v>
      </c>
      <c r="G234" s="512"/>
      <c r="H234" s="534">
        <f t="shared" si="57"/>
        <v>0</v>
      </c>
      <c r="I234" s="518">
        <f t="shared" si="58"/>
        <v>0</v>
      </c>
      <c r="J234" s="527"/>
      <c r="K234" s="534">
        <f t="shared" si="61"/>
        <v>0</v>
      </c>
      <c r="L234" s="528"/>
      <c r="M234" s="560">
        <f t="shared" si="62"/>
        <v>0</v>
      </c>
      <c r="N234" s="522">
        <f t="shared" si="64"/>
        <v>0</v>
      </c>
      <c r="O234" s="661">
        <f t="shared" si="63"/>
        <v>0</v>
      </c>
    </row>
    <row r="235" spans="1:15" ht="15.6" customHeight="1" outlineLevel="1" x14ac:dyDescent="0.25">
      <c r="A235" s="503">
        <v>2016</v>
      </c>
      <c r="B235" s="504" t="s">
        <v>22</v>
      </c>
      <c r="C235" s="505">
        <v>74254</v>
      </c>
      <c r="D235" s="505"/>
      <c r="E235" s="511"/>
      <c r="F235" s="534">
        <f t="shared" si="56"/>
        <v>0</v>
      </c>
      <c r="G235" s="512"/>
      <c r="H235" s="534">
        <f t="shared" si="57"/>
        <v>0</v>
      </c>
      <c r="I235" s="518">
        <f t="shared" si="58"/>
        <v>0</v>
      </c>
      <c r="J235" s="527"/>
      <c r="K235" s="534">
        <f t="shared" si="61"/>
        <v>0</v>
      </c>
      <c r="L235" s="528"/>
      <c r="M235" s="560">
        <f t="shared" si="62"/>
        <v>0</v>
      </c>
      <c r="N235" s="522">
        <f t="shared" si="64"/>
        <v>0</v>
      </c>
      <c r="O235" s="661">
        <f t="shared" si="63"/>
        <v>0</v>
      </c>
    </row>
    <row r="236" spans="1:15" ht="15.6" customHeight="1" outlineLevel="1" x14ac:dyDescent="0.25">
      <c r="A236" s="503">
        <v>2016</v>
      </c>
      <c r="B236" s="504" t="s">
        <v>23</v>
      </c>
      <c r="C236" s="505">
        <v>58100</v>
      </c>
      <c r="D236" s="505"/>
      <c r="E236" s="511"/>
      <c r="F236" s="534">
        <f t="shared" si="56"/>
        <v>0</v>
      </c>
      <c r="G236" s="512"/>
      <c r="H236" s="534">
        <f t="shared" si="57"/>
        <v>0</v>
      </c>
      <c r="I236" s="518">
        <f t="shared" si="58"/>
        <v>0</v>
      </c>
      <c r="J236" s="527"/>
      <c r="K236" s="534">
        <f t="shared" si="61"/>
        <v>0</v>
      </c>
      <c r="L236" s="528"/>
      <c r="M236" s="560">
        <f t="shared" si="62"/>
        <v>0</v>
      </c>
      <c r="N236" s="522">
        <f t="shared" si="64"/>
        <v>0</v>
      </c>
      <c r="O236" s="661">
        <f t="shared" si="63"/>
        <v>0</v>
      </c>
    </row>
    <row r="237" spans="1:15" ht="15.6" customHeight="1" outlineLevel="1" x14ac:dyDescent="0.25">
      <c r="A237" s="503">
        <v>2016</v>
      </c>
      <c r="B237" s="504" t="s">
        <v>24</v>
      </c>
      <c r="C237" s="505">
        <v>47600</v>
      </c>
      <c r="D237" s="505"/>
      <c r="E237" s="511"/>
      <c r="F237" s="534">
        <f>IF(E237=0,0,+E237/$I237)</f>
        <v>0</v>
      </c>
      <c r="G237" s="512"/>
      <c r="H237" s="534">
        <f>IF(G237=0,0,+G237/$I237)</f>
        <v>0</v>
      </c>
      <c r="I237" s="518">
        <f t="shared" si="58"/>
        <v>0</v>
      </c>
      <c r="J237" s="527"/>
      <c r="K237" s="534">
        <f t="shared" si="61"/>
        <v>0</v>
      </c>
      <c r="L237" s="528"/>
      <c r="M237" s="560">
        <f t="shared" si="62"/>
        <v>0</v>
      </c>
      <c r="N237" s="522">
        <f t="shared" si="64"/>
        <v>0</v>
      </c>
      <c r="O237" s="661">
        <f t="shared" si="63"/>
        <v>0</v>
      </c>
    </row>
    <row r="238" spans="1:15" ht="15.6" customHeight="1" outlineLevel="1" x14ac:dyDescent="0.25">
      <c r="A238" s="503">
        <v>2016</v>
      </c>
      <c r="B238" s="504" t="s">
        <v>25</v>
      </c>
      <c r="C238" s="505">
        <v>11100</v>
      </c>
      <c r="D238" s="505"/>
      <c r="E238" s="511"/>
      <c r="F238" s="534">
        <f>IF(E238=0,0,+E238/$I238)</f>
        <v>0</v>
      </c>
      <c r="G238" s="512"/>
      <c r="H238" s="534">
        <f>IF(G238=0,0,+G238/$I238)</f>
        <v>0</v>
      </c>
      <c r="I238" s="518">
        <f t="shared" si="58"/>
        <v>0</v>
      </c>
      <c r="J238" s="527"/>
      <c r="K238" s="534">
        <f t="shared" si="61"/>
        <v>0</v>
      </c>
      <c r="L238" s="528"/>
      <c r="M238" s="560">
        <f t="shared" si="62"/>
        <v>0</v>
      </c>
      <c r="N238" s="522">
        <f t="shared" si="64"/>
        <v>0</v>
      </c>
      <c r="O238" s="661">
        <f t="shared" si="63"/>
        <v>0</v>
      </c>
    </row>
    <row r="239" spans="1:15" ht="15.6" customHeight="1" outlineLevel="1" x14ac:dyDescent="0.25">
      <c r="A239" s="503">
        <v>2016</v>
      </c>
      <c r="B239" s="504" t="s">
        <v>26</v>
      </c>
      <c r="C239" s="505">
        <v>2845</v>
      </c>
      <c r="D239" s="505"/>
      <c r="E239" s="511"/>
      <c r="F239" s="534">
        <f>IF(E239=0,0,+E239/$I239)</f>
        <v>0</v>
      </c>
      <c r="G239" s="512"/>
      <c r="H239" s="534">
        <f>IF(G239=0,0,+G239/$I239)</f>
        <v>0</v>
      </c>
      <c r="I239" s="518">
        <f t="shared" si="58"/>
        <v>0</v>
      </c>
      <c r="J239" s="527"/>
      <c r="K239" s="534">
        <f t="shared" si="61"/>
        <v>0</v>
      </c>
      <c r="L239" s="528"/>
      <c r="M239" s="560">
        <f t="shared" si="62"/>
        <v>0</v>
      </c>
      <c r="N239" s="522">
        <f t="shared" si="64"/>
        <v>0</v>
      </c>
      <c r="O239" s="661">
        <f t="shared" si="63"/>
        <v>0</v>
      </c>
    </row>
    <row r="240" spans="1:15" ht="15.6" customHeight="1" outlineLevel="1" thickBot="1" x14ac:dyDescent="0.3">
      <c r="A240" s="506">
        <v>2016</v>
      </c>
      <c r="B240" s="507" t="s">
        <v>27</v>
      </c>
      <c r="C240" s="508">
        <v>5192</v>
      </c>
      <c r="D240" s="508"/>
      <c r="E240" s="513"/>
      <c r="F240" s="535">
        <f>IF(E240=0,0,+E240/$I240)</f>
        <v>0</v>
      </c>
      <c r="G240" s="514"/>
      <c r="H240" s="535">
        <f>IF(G240=0,0,+G240/$I240)</f>
        <v>0</v>
      </c>
      <c r="I240" s="519">
        <f t="shared" si="58"/>
        <v>0</v>
      </c>
      <c r="J240" s="529"/>
      <c r="K240" s="535">
        <f t="shared" si="61"/>
        <v>0</v>
      </c>
      <c r="L240" s="530"/>
      <c r="M240" s="561">
        <f t="shared" si="62"/>
        <v>0</v>
      </c>
      <c r="N240" s="523">
        <f t="shared" si="64"/>
        <v>0</v>
      </c>
      <c r="O240" s="662">
        <f t="shared" si="63"/>
        <v>0</v>
      </c>
    </row>
    <row r="241" spans="1:25" ht="14.4" thickTop="1" thickBot="1" x14ac:dyDescent="0.3">
      <c r="A241" s="564">
        <v>2016</v>
      </c>
      <c r="B241" s="565" t="s">
        <v>28</v>
      </c>
      <c r="C241" s="566">
        <f>SUM(C232:C240)</f>
        <v>240491</v>
      </c>
      <c r="D241" s="566">
        <f>SUM(D232:D240)</f>
        <v>0</v>
      </c>
      <c r="E241" s="515">
        <f>SUM(E232:E240)</f>
        <v>0</v>
      </c>
      <c r="F241" s="533">
        <f>IF(E241=0,0,+E241/$I241)</f>
        <v>0</v>
      </c>
      <c r="G241" s="516">
        <f>SUM(G232:G240)</f>
        <v>0</v>
      </c>
      <c r="H241" s="558">
        <f>IF(G241=0,0,+G241/$I241)</f>
        <v>0</v>
      </c>
      <c r="I241" s="520">
        <f t="shared" si="58"/>
        <v>0</v>
      </c>
      <c r="J241" s="531">
        <f>SUM(J232:J240)</f>
        <v>0</v>
      </c>
      <c r="K241" s="533">
        <f t="shared" si="61"/>
        <v>0</v>
      </c>
      <c r="L241" s="532">
        <f>SUM(L232:L240)</f>
        <v>0</v>
      </c>
      <c r="M241" s="562">
        <f t="shared" si="62"/>
        <v>0</v>
      </c>
      <c r="N241" s="524">
        <f t="shared" si="64"/>
        <v>0</v>
      </c>
      <c r="O241" s="663">
        <f t="shared" si="63"/>
        <v>0</v>
      </c>
    </row>
    <row r="242" spans="1:25" ht="14.4" thickTop="1" thickBot="1" x14ac:dyDescent="0.3">
      <c r="A242" s="134"/>
      <c r="B242" s="135"/>
      <c r="C242" s="272"/>
      <c r="D242" s="272"/>
      <c r="E242" s="136"/>
      <c r="F242" s="136"/>
      <c r="G242" s="136"/>
      <c r="H242" s="136"/>
      <c r="I242" s="136"/>
      <c r="J242" s="137"/>
      <c r="K242" s="137"/>
      <c r="L242" s="137"/>
      <c r="M242" s="137"/>
      <c r="N242" s="138"/>
      <c r="O242" s="665"/>
    </row>
    <row r="243" spans="1:25" ht="16.8" customHeight="1" thickBot="1" x14ac:dyDescent="0.3">
      <c r="A243" s="536"/>
      <c r="B243" s="140"/>
      <c r="C243" s="273"/>
      <c r="D243" s="273"/>
      <c r="E243" s="141"/>
      <c r="F243" s="141"/>
      <c r="G243" s="141"/>
      <c r="H243" s="141"/>
      <c r="I243" s="141"/>
      <c r="J243" s="142"/>
      <c r="K243" s="142"/>
      <c r="L243" s="139"/>
      <c r="M243" s="139"/>
      <c r="N243" s="139"/>
      <c r="O243" s="682" t="s">
        <v>426</v>
      </c>
      <c r="S243" s="860" t="s">
        <v>466</v>
      </c>
      <c r="T243" s="861"/>
      <c r="U243" s="861"/>
      <c r="V243" s="861"/>
      <c r="W243" s="861"/>
      <c r="X243" s="862"/>
    </row>
    <row r="244" spans="1:25" s="49" customFormat="1" ht="27.75" customHeight="1" thickBot="1" x14ac:dyDescent="0.3">
      <c r="A244" s="563"/>
      <c r="B244" s="547" t="s">
        <v>14</v>
      </c>
      <c r="C244" s="549" t="s">
        <v>318</v>
      </c>
      <c r="D244" s="549" t="s">
        <v>317</v>
      </c>
      <c r="E244" s="550" t="s">
        <v>310</v>
      </c>
      <c r="F244" s="551" t="s">
        <v>416</v>
      </c>
      <c r="G244" s="551" t="s">
        <v>311</v>
      </c>
      <c r="H244" s="552" t="s">
        <v>417</v>
      </c>
      <c r="I244" s="553" t="s">
        <v>319</v>
      </c>
      <c r="J244" s="554" t="s">
        <v>308</v>
      </c>
      <c r="K244" s="551" t="s">
        <v>418</v>
      </c>
      <c r="L244" s="555" t="s">
        <v>307</v>
      </c>
      <c r="M244" s="556" t="s">
        <v>415</v>
      </c>
      <c r="N244" s="557" t="s">
        <v>309</v>
      </c>
      <c r="O244" s="683" t="s">
        <v>425</v>
      </c>
      <c r="P244" s="686" t="s">
        <v>457</v>
      </c>
      <c r="Q244" s="686" t="s">
        <v>458</v>
      </c>
      <c r="R244" s="686" t="s">
        <v>459</v>
      </c>
      <c r="S244" s="687" t="s">
        <v>463</v>
      </c>
      <c r="T244" s="687" t="s">
        <v>464</v>
      </c>
      <c r="U244" s="687" t="s">
        <v>465</v>
      </c>
      <c r="V244" s="687" t="s">
        <v>461</v>
      </c>
      <c r="W244" s="687" t="s">
        <v>462</v>
      </c>
      <c r="X244" s="687" t="s">
        <v>460</v>
      </c>
    </row>
    <row r="245" spans="1:25" s="52" customFormat="1" ht="18.75" customHeight="1" thickTop="1" x14ac:dyDescent="0.25">
      <c r="A245" s="51"/>
      <c r="B245" s="590" t="s">
        <v>424</v>
      </c>
      <c r="C245" s="588">
        <f>+C61</f>
        <v>176965</v>
      </c>
      <c r="D245" s="567">
        <f>+D61</f>
        <v>105948</v>
      </c>
      <c r="E245" s="581">
        <f>+E61</f>
        <v>105413.66000000002</v>
      </c>
      <c r="F245" s="568">
        <f t="shared" ref="F245:F250" si="65">IF(E245=0,0,+E245/$I245)</f>
        <v>0.82697474256882186</v>
      </c>
      <c r="G245" s="579">
        <f>+G61</f>
        <v>22055.360000000001</v>
      </c>
      <c r="H245" s="568">
        <f t="shared" ref="H245:H250" si="66">IF(G245=0,0,+G245/$I245)</f>
        <v>0.17302525743117816</v>
      </c>
      <c r="I245" s="577">
        <f t="shared" ref="I245:I250" si="67">+G245+E245</f>
        <v>127469.02000000002</v>
      </c>
      <c r="J245" s="569">
        <f>+J61</f>
        <v>45038652.609999999</v>
      </c>
      <c r="K245" s="584">
        <f t="shared" ref="K245:K263" si="68">IF(J245=0,0,+J245/$N245)</f>
        <v>0.76730815193413715</v>
      </c>
      <c r="L245" s="570">
        <f>+L61</f>
        <v>13658303.100000001</v>
      </c>
      <c r="M245" s="586">
        <f t="shared" ref="M245:M263" si="69">IF(L245=0,0,+L245/$N245)</f>
        <v>0.23269184806586285</v>
      </c>
      <c r="N245" s="571">
        <f t="shared" ref="N245:N257" si="70">+L245+J245</f>
        <v>58696955.710000001</v>
      </c>
      <c r="O245" s="666">
        <v>16379935</v>
      </c>
      <c r="P245" s="685">
        <f>+J245/E245</f>
        <v>427.25632152417433</v>
      </c>
      <c r="Q245" s="685">
        <f>+L245/G245</f>
        <v>619.27364141868463</v>
      </c>
      <c r="R245" s="685">
        <f>+N245/I245</f>
        <v>460.48016773016684</v>
      </c>
      <c r="S245" s="869">
        <f>+E245+E246</f>
        <v>275489.22000000003</v>
      </c>
      <c r="T245" s="870">
        <f>+G245+G246</f>
        <v>60074.32</v>
      </c>
      <c r="U245" s="871">
        <f>+I245+I246</f>
        <v>335563.54000000004</v>
      </c>
      <c r="V245" s="868">
        <f>+J245+J246</f>
        <v>107797718.95999999</v>
      </c>
      <c r="W245" s="868">
        <f>+L245+L246</f>
        <v>33747749.790000007</v>
      </c>
      <c r="X245" s="868">
        <f>+N245+N246</f>
        <v>141545468.75</v>
      </c>
      <c r="Y245" s="731" t="str">
        <f>+B245</f>
        <v>FY1998</v>
      </c>
    </row>
    <row r="246" spans="1:25" s="52" customFormat="1" ht="18.75" customHeight="1" x14ac:dyDescent="0.25">
      <c r="A246" s="51"/>
      <c r="B246" s="591" t="s">
        <v>423</v>
      </c>
      <c r="C246" s="572">
        <f>+C71</f>
        <v>199525</v>
      </c>
      <c r="D246" s="589">
        <f>+D71</f>
        <v>255133</v>
      </c>
      <c r="E246" s="567">
        <f>+E71</f>
        <v>170075.56</v>
      </c>
      <c r="F246" s="582">
        <f t="shared" si="65"/>
        <v>0.81729956175684015</v>
      </c>
      <c r="G246" s="572">
        <f>+G71</f>
        <v>38018.959999999999</v>
      </c>
      <c r="H246" s="580">
        <f t="shared" si="66"/>
        <v>0.1827004382431599</v>
      </c>
      <c r="I246" s="575">
        <f t="shared" si="67"/>
        <v>208094.52</v>
      </c>
      <c r="J246" s="583">
        <f>+J71</f>
        <v>62759066.349999994</v>
      </c>
      <c r="K246" s="574">
        <f t="shared" si="68"/>
        <v>0.75751590520036693</v>
      </c>
      <c r="L246" s="585">
        <f>+L71</f>
        <v>20089446.690000001</v>
      </c>
      <c r="M246" s="574">
        <f t="shared" si="69"/>
        <v>0.24248409479963315</v>
      </c>
      <c r="N246" s="587">
        <f t="shared" si="70"/>
        <v>82848513.039999992</v>
      </c>
      <c r="O246" s="667">
        <v>17439454</v>
      </c>
      <c r="P246" s="684">
        <f t="shared" ref="P246:P262" si="71">+J246/E246</f>
        <v>369.00696578626577</v>
      </c>
      <c r="Q246" s="684">
        <f t="shared" ref="Q246:Q262" si="72">+L246/G246</f>
        <v>528.40600295221122</v>
      </c>
      <c r="R246" s="684">
        <f t="shared" ref="R246:R262" si="73">+N246/I246</f>
        <v>398.12923973202174</v>
      </c>
      <c r="S246" s="864"/>
      <c r="T246" s="864"/>
      <c r="U246" s="864"/>
      <c r="V246" s="864"/>
      <c r="W246" s="864"/>
      <c r="X246" s="864"/>
      <c r="Y246" s="731" t="str">
        <f t="shared" ref="Y246:Y264" si="74">+B246</f>
        <v>FY1999</v>
      </c>
    </row>
    <row r="247" spans="1:25" s="52" customFormat="1" ht="18.75" customHeight="1" x14ac:dyDescent="0.25">
      <c r="A247" s="51"/>
      <c r="B247" s="590" t="s">
        <v>422</v>
      </c>
      <c r="C247" s="588">
        <f>+C81</f>
        <v>256164</v>
      </c>
      <c r="D247" s="567">
        <f>+D81</f>
        <v>239615</v>
      </c>
      <c r="E247" s="581">
        <f>+E81</f>
        <v>215074.47</v>
      </c>
      <c r="F247" s="568">
        <f t="shared" si="65"/>
        <v>0.81224795514680781</v>
      </c>
      <c r="G247" s="579">
        <f>+G81</f>
        <v>49714.710000000006</v>
      </c>
      <c r="H247" s="568">
        <f t="shared" si="66"/>
        <v>0.1877520448531923</v>
      </c>
      <c r="I247" s="577">
        <f t="shared" si="67"/>
        <v>264789.18</v>
      </c>
      <c r="J247" s="569">
        <f>+J81</f>
        <v>74971314.470000014</v>
      </c>
      <c r="K247" s="584">
        <f t="shared" si="68"/>
        <v>0.75446449493321177</v>
      </c>
      <c r="L247" s="570">
        <f>+L81</f>
        <v>24398920.939999998</v>
      </c>
      <c r="M247" s="586">
        <f t="shared" si="69"/>
        <v>0.24553550506678823</v>
      </c>
      <c r="N247" s="571">
        <f t="shared" si="70"/>
        <v>99370235.410000011</v>
      </c>
      <c r="O247" s="666">
        <v>24377943</v>
      </c>
      <c r="P247" s="685">
        <f t="shared" si="71"/>
        <v>348.58304879235556</v>
      </c>
      <c r="Q247" s="685">
        <f t="shared" si="72"/>
        <v>490.77870392887729</v>
      </c>
      <c r="R247" s="685">
        <f t="shared" si="73"/>
        <v>375.28057381347685</v>
      </c>
      <c r="S247" s="863">
        <f t="shared" ref="S247" si="75">+E247+E248</f>
        <v>408143.11</v>
      </c>
      <c r="T247" s="865">
        <f t="shared" ref="T247" si="76">+G247+G248</f>
        <v>85341.330000000016</v>
      </c>
      <c r="U247" s="866">
        <f t="shared" ref="U247" si="77">+I247+I248</f>
        <v>493484.44</v>
      </c>
      <c r="V247" s="867">
        <f t="shared" ref="V247" si="78">+J247+J248</f>
        <v>140461190.92000002</v>
      </c>
      <c r="W247" s="867">
        <f t="shared" ref="W247" si="79">+L247+L248</f>
        <v>43236786.149999999</v>
      </c>
      <c r="X247" s="867">
        <f t="shared" ref="X247" si="80">+N247+N248</f>
        <v>183697977.06999999</v>
      </c>
      <c r="Y247" s="731" t="str">
        <f t="shared" si="74"/>
        <v>FY2000</v>
      </c>
    </row>
    <row r="248" spans="1:25" s="52" customFormat="1" ht="18.75" customHeight="1" x14ac:dyDescent="0.25">
      <c r="A248" s="51"/>
      <c r="B248" s="591" t="s">
        <v>421</v>
      </c>
      <c r="C248" s="572">
        <f>+C91</f>
        <v>226764</v>
      </c>
      <c r="D248" s="589">
        <f>+D91</f>
        <v>209334</v>
      </c>
      <c r="E248" s="567">
        <f>+E91</f>
        <v>193068.64</v>
      </c>
      <c r="F248" s="582">
        <f t="shared" si="65"/>
        <v>0.84421793438132475</v>
      </c>
      <c r="G248" s="572">
        <f>+G91</f>
        <v>35626.620000000003</v>
      </c>
      <c r="H248" s="580">
        <f t="shared" si="66"/>
        <v>0.15578206561867528</v>
      </c>
      <c r="I248" s="575">
        <f t="shared" si="67"/>
        <v>228695.26</v>
      </c>
      <c r="J248" s="583">
        <f>+J91</f>
        <v>65489876.450000003</v>
      </c>
      <c r="K248" s="574">
        <f t="shared" si="68"/>
        <v>0.77661129256903194</v>
      </c>
      <c r="L248" s="585">
        <f>+L91</f>
        <v>18837865.210000001</v>
      </c>
      <c r="M248" s="574">
        <f t="shared" si="69"/>
        <v>0.22338870743096811</v>
      </c>
      <c r="N248" s="587">
        <f t="shared" si="70"/>
        <v>84327741.659999996</v>
      </c>
      <c r="O248" s="667">
        <v>16787101</v>
      </c>
      <c r="P248" s="684">
        <f t="shared" si="71"/>
        <v>339.20514719531872</v>
      </c>
      <c r="Q248" s="684">
        <f t="shared" si="72"/>
        <v>528.75813675279892</v>
      </c>
      <c r="R248" s="684">
        <f t="shared" si="73"/>
        <v>368.73410345277813</v>
      </c>
      <c r="S248" s="864"/>
      <c r="T248" s="864"/>
      <c r="U248" s="864"/>
      <c r="V248" s="864"/>
      <c r="W248" s="864"/>
      <c r="X248" s="864"/>
      <c r="Y248" s="731" t="str">
        <f t="shared" si="74"/>
        <v>FY2001</v>
      </c>
    </row>
    <row r="249" spans="1:25" s="52" customFormat="1" ht="18.75" customHeight="1" x14ac:dyDescent="0.25">
      <c r="A249" s="51"/>
      <c r="B249" s="265" t="s">
        <v>420</v>
      </c>
      <c r="C249" s="588">
        <f>+C101</f>
        <v>205628</v>
      </c>
      <c r="D249" s="567">
        <f>+D101</f>
        <v>215046</v>
      </c>
      <c r="E249" s="581">
        <f>+E101</f>
        <v>228326.62999999998</v>
      </c>
      <c r="F249" s="568">
        <f t="shared" si="65"/>
        <v>0.88538707803604266</v>
      </c>
      <c r="G249" s="579">
        <f>+G101</f>
        <v>29556.769999999997</v>
      </c>
      <c r="H249" s="573">
        <f t="shared" si="66"/>
        <v>0.11461292196395735</v>
      </c>
      <c r="I249" s="578">
        <f t="shared" si="67"/>
        <v>257883.39999999997</v>
      </c>
      <c r="J249" s="569">
        <f>+J101</f>
        <v>79544455.349999979</v>
      </c>
      <c r="K249" s="584">
        <f t="shared" si="68"/>
        <v>0.84994677391062368</v>
      </c>
      <c r="L249" s="570">
        <f>+L101</f>
        <v>14043117.18</v>
      </c>
      <c r="M249" s="586">
        <f t="shared" si="69"/>
        <v>0.15005322608937641</v>
      </c>
      <c r="N249" s="576">
        <f t="shared" si="70"/>
        <v>93587572.529999971</v>
      </c>
      <c r="O249" s="668">
        <v>13671493</v>
      </c>
      <c r="P249" s="685">
        <f t="shared" si="71"/>
        <v>348.38010507140575</v>
      </c>
      <c r="Q249" s="685">
        <f t="shared" si="72"/>
        <v>475.12353954779229</v>
      </c>
      <c r="R249" s="685">
        <f t="shared" si="73"/>
        <v>362.90654043649175</v>
      </c>
      <c r="S249" s="863">
        <f t="shared" ref="S249" si="81">+E249+E250</f>
        <v>481858.67999999993</v>
      </c>
      <c r="T249" s="865">
        <f t="shared" ref="T249" si="82">+G249+G250</f>
        <v>53846.92</v>
      </c>
      <c r="U249" s="866">
        <f t="shared" ref="U249" si="83">+I249+I250</f>
        <v>535705.59999999998</v>
      </c>
      <c r="V249" s="867">
        <f t="shared" ref="V249" si="84">+J249+J250</f>
        <v>166419640.03999999</v>
      </c>
      <c r="W249" s="867">
        <f t="shared" ref="W249" si="85">+L249+L250</f>
        <v>25032075.609999999</v>
      </c>
      <c r="X249" s="867">
        <f t="shared" ref="X249" si="86">+N249+N250</f>
        <v>191451715.64999998</v>
      </c>
      <c r="Y249" s="731" t="str">
        <f t="shared" si="74"/>
        <v>FY2002</v>
      </c>
    </row>
    <row r="250" spans="1:25" s="52" customFormat="1" ht="18.75" customHeight="1" x14ac:dyDescent="0.25">
      <c r="A250" s="51"/>
      <c r="B250" s="591" t="s">
        <v>419</v>
      </c>
      <c r="C250" s="572">
        <f>+C111</f>
        <v>232156</v>
      </c>
      <c r="D250" s="589">
        <f>+D111</f>
        <v>242336</v>
      </c>
      <c r="E250" s="567">
        <f>+E111</f>
        <v>253532.05</v>
      </c>
      <c r="F250" s="582">
        <f t="shared" si="65"/>
        <v>0.91256944189485212</v>
      </c>
      <c r="G250" s="572">
        <f>+G111</f>
        <v>24290.15</v>
      </c>
      <c r="H250" s="580">
        <f t="shared" si="66"/>
        <v>8.7430558105147826E-2</v>
      </c>
      <c r="I250" s="575">
        <f t="shared" si="67"/>
        <v>277822.2</v>
      </c>
      <c r="J250" s="583">
        <f>+J111</f>
        <v>86875184.690000013</v>
      </c>
      <c r="K250" s="574">
        <f t="shared" si="68"/>
        <v>0.88771210701221337</v>
      </c>
      <c r="L250" s="585">
        <f>+L111</f>
        <v>10988958.43</v>
      </c>
      <c r="M250" s="574">
        <f t="shared" si="69"/>
        <v>0.11228789298778667</v>
      </c>
      <c r="N250" s="587">
        <f t="shared" si="70"/>
        <v>97864143.120000005</v>
      </c>
      <c r="O250" s="667">
        <v>8550000</v>
      </c>
      <c r="P250" s="684">
        <f t="shared" si="71"/>
        <v>342.65957574200189</v>
      </c>
      <c r="Q250" s="684">
        <f t="shared" si="72"/>
        <v>452.40389334771498</v>
      </c>
      <c r="R250" s="684">
        <f t="shared" si="73"/>
        <v>352.25458267913797</v>
      </c>
      <c r="S250" s="864"/>
      <c r="T250" s="864"/>
      <c r="U250" s="864"/>
      <c r="V250" s="864"/>
      <c r="W250" s="864"/>
      <c r="X250" s="864"/>
      <c r="Y250" s="731" t="str">
        <f t="shared" si="74"/>
        <v>FY2003</v>
      </c>
    </row>
    <row r="251" spans="1:25" s="52" customFormat="1" ht="18.75" customHeight="1" x14ac:dyDescent="0.25">
      <c r="A251" s="51"/>
      <c r="B251" s="590" t="s">
        <v>178</v>
      </c>
      <c r="C251" s="588">
        <f>C121</f>
        <v>294567</v>
      </c>
      <c r="D251" s="567">
        <v>239385.74000000002</v>
      </c>
      <c r="E251" s="581">
        <f>E121</f>
        <v>239385.74000000002</v>
      </c>
      <c r="F251" s="568">
        <f t="shared" ref="F251:F263" si="87">IF(E251=0,0,+E251/$I251)</f>
        <v>0.88071310665625901</v>
      </c>
      <c r="G251" s="579">
        <f>G121</f>
        <v>32423.25</v>
      </c>
      <c r="H251" s="568">
        <f t="shared" ref="H251:H263" si="88">IF(G251=0,0,+G251/$I251)</f>
        <v>0.11928689334374114</v>
      </c>
      <c r="I251" s="577">
        <f t="shared" ref="I251:I257" si="89">+G251+E251</f>
        <v>271808.99</v>
      </c>
      <c r="J251" s="569">
        <f>L121</f>
        <v>14216418.360000001</v>
      </c>
      <c r="K251" s="584">
        <f t="shared" si="68"/>
        <v>0.5</v>
      </c>
      <c r="L251" s="570">
        <f>L121</f>
        <v>14216418.360000001</v>
      </c>
      <c r="M251" s="586">
        <f t="shared" si="69"/>
        <v>0.5</v>
      </c>
      <c r="N251" s="571">
        <f t="shared" si="70"/>
        <v>28432836.720000003</v>
      </c>
      <c r="O251" s="666">
        <v>15360073</v>
      </c>
      <c r="P251" s="685">
        <f t="shared" si="71"/>
        <v>59.387072763816256</v>
      </c>
      <c r="Q251" s="685">
        <f t="shared" si="72"/>
        <v>438.4637061368</v>
      </c>
      <c r="R251" s="685">
        <f t="shared" si="73"/>
        <v>104.60594669808384</v>
      </c>
      <c r="S251" s="863">
        <f t="shared" ref="S251" si="90">+E251+E252</f>
        <v>520990.71999999997</v>
      </c>
      <c r="T251" s="865">
        <f t="shared" ref="T251" si="91">+G251+G252</f>
        <v>74529.63</v>
      </c>
      <c r="U251" s="866">
        <f t="shared" ref="U251" si="92">+I251+I252</f>
        <v>595520.35</v>
      </c>
      <c r="V251" s="867">
        <f t="shared" ref="V251" si="93">+J251+J252</f>
        <v>103758684.39</v>
      </c>
      <c r="W251" s="867">
        <f t="shared" ref="W251" si="94">+L251+L252</f>
        <v>34296590.740000002</v>
      </c>
      <c r="X251" s="867">
        <f t="shared" ref="X251" si="95">+N251+N252</f>
        <v>138055275.13</v>
      </c>
      <c r="Y251" s="731" t="str">
        <f t="shared" si="74"/>
        <v>FY2004</v>
      </c>
    </row>
    <row r="252" spans="1:25" s="52" customFormat="1" ht="18.75" customHeight="1" x14ac:dyDescent="0.25">
      <c r="A252" s="51"/>
      <c r="B252" s="591" t="s">
        <v>179</v>
      </c>
      <c r="C252" s="572">
        <f>C131</f>
        <v>262520</v>
      </c>
      <c r="D252" s="589">
        <v>281604.98</v>
      </c>
      <c r="E252" s="567">
        <f>E131</f>
        <v>281604.98</v>
      </c>
      <c r="F252" s="582">
        <f t="shared" si="87"/>
        <v>0.86992615890897373</v>
      </c>
      <c r="G252" s="572">
        <f>G131</f>
        <v>42106.38</v>
      </c>
      <c r="H252" s="580">
        <f t="shared" si="88"/>
        <v>0.13007384109102627</v>
      </c>
      <c r="I252" s="575">
        <f t="shared" si="89"/>
        <v>323711.35999999999</v>
      </c>
      <c r="J252" s="583">
        <f>J131</f>
        <v>89542266.030000001</v>
      </c>
      <c r="K252" s="574">
        <f t="shared" si="68"/>
        <v>0.81682424993231828</v>
      </c>
      <c r="L252" s="585">
        <f>L131</f>
        <v>20080172.379999999</v>
      </c>
      <c r="M252" s="574">
        <f t="shared" si="69"/>
        <v>0.18317575006768178</v>
      </c>
      <c r="N252" s="587">
        <f t="shared" si="70"/>
        <v>109622438.41</v>
      </c>
      <c r="O252" s="667">
        <v>19092180</v>
      </c>
      <c r="P252" s="684">
        <f t="shared" si="71"/>
        <v>317.97117376972528</v>
      </c>
      <c r="Q252" s="684">
        <f t="shared" si="72"/>
        <v>476.89144447943517</v>
      </c>
      <c r="R252" s="684">
        <f t="shared" si="73"/>
        <v>338.64254380816294</v>
      </c>
      <c r="S252" s="864"/>
      <c r="T252" s="864"/>
      <c r="U252" s="864"/>
      <c r="V252" s="864"/>
      <c r="W252" s="864"/>
      <c r="X252" s="864"/>
      <c r="Y252" s="731" t="str">
        <f t="shared" si="74"/>
        <v>FY2005</v>
      </c>
    </row>
    <row r="253" spans="1:25" s="52" customFormat="1" ht="18.75" customHeight="1" x14ac:dyDescent="0.25">
      <c r="A253" s="51"/>
      <c r="B253" s="265" t="s">
        <v>29</v>
      </c>
      <c r="C253" s="588">
        <f>C141</f>
        <v>322355</v>
      </c>
      <c r="D253" s="567">
        <v>276908.34000000003</v>
      </c>
      <c r="E253" s="581">
        <f>E141</f>
        <v>276908.34000000003</v>
      </c>
      <c r="F253" s="568">
        <f t="shared" si="87"/>
        <v>0.93949654815818084</v>
      </c>
      <c r="G253" s="579">
        <f>G141</f>
        <v>17832.86</v>
      </c>
      <c r="H253" s="573">
        <f t="shared" si="88"/>
        <v>6.0503451841819197E-2</v>
      </c>
      <c r="I253" s="578">
        <f t="shared" si="89"/>
        <v>294741.2</v>
      </c>
      <c r="J253" s="569">
        <f>J141</f>
        <v>103150843.27000001</v>
      </c>
      <c r="K253" s="584">
        <f t="shared" si="68"/>
        <v>0.93129628648032203</v>
      </c>
      <c r="L253" s="570">
        <f>L141</f>
        <v>7609657.7299999995</v>
      </c>
      <c r="M253" s="586">
        <f t="shared" si="69"/>
        <v>6.8703713519677911E-2</v>
      </c>
      <c r="N253" s="576">
        <f t="shared" si="70"/>
        <v>110760501.00000001</v>
      </c>
      <c r="O253" s="668">
        <v>9656593</v>
      </c>
      <c r="P253" s="685">
        <f t="shared" si="71"/>
        <v>372.50897993899355</v>
      </c>
      <c r="Q253" s="685">
        <f t="shared" si="72"/>
        <v>426.72110530784175</v>
      </c>
      <c r="R253" s="685">
        <f t="shared" si="73"/>
        <v>375.78900065549033</v>
      </c>
      <c r="S253" s="863">
        <f t="shared" ref="S253" si="96">+E253+E254</f>
        <v>521306.17000000004</v>
      </c>
      <c r="T253" s="865">
        <f t="shared" ref="T253" si="97">+G253+G254</f>
        <v>44916.460000000006</v>
      </c>
      <c r="U253" s="866">
        <f t="shared" ref="U253" si="98">+I253+I254</f>
        <v>566222.63</v>
      </c>
      <c r="V253" s="867">
        <f t="shared" ref="V253" si="99">+J253+J254</f>
        <v>201438137.62</v>
      </c>
      <c r="W253" s="867">
        <f t="shared" ref="W253" si="100">+L253+L254</f>
        <v>20370649.280000001</v>
      </c>
      <c r="X253" s="867">
        <f t="shared" ref="X253" si="101">+N253+N254</f>
        <v>221808786.90000001</v>
      </c>
      <c r="Y253" s="731" t="str">
        <f t="shared" si="74"/>
        <v>FY2006</v>
      </c>
    </row>
    <row r="254" spans="1:25" s="52" customFormat="1" ht="18.75" customHeight="1" x14ac:dyDescent="0.25">
      <c r="A254" s="51"/>
      <c r="B254" s="591" t="s">
        <v>30</v>
      </c>
      <c r="C254" s="572">
        <f>C151</f>
        <v>236555</v>
      </c>
      <c r="D254" s="589">
        <v>244397.83</v>
      </c>
      <c r="E254" s="567">
        <f>E151</f>
        <v>244397.83</v>
      </c>
      <c r="F254" s="582">
        <f t="shared" si="87"/>
        <v>0.90023774370129106</v>
      </c>
      <c r="G254" s="572">
        <f>G151</f>
        <v>27083.600000000002</v>
      </c>
      <c r="H254" s="580">
        <f t="shared" si="88"/>
        <v>9.9762256298708912E-2</v>
      </c>
      <c r="I254" s="575">
        <f t="shared" si="89"/>
        <v>271481.43</v>
      </c>
      <c r="J254" s="583">
        <f>J151</f>
        <v>98287294.349999994</v>
      </c>
      <c r="K254" s="574">
        <f t="shared" si="68"/>
        <v>0.88508610064011806</v>
      </c>
      <c r="L254" s="585">
        <f>L151</f>
        <v>12760991.550000001</v>
      </c>
      <c r="M254" s="574">
        <f t="shared" si="69"/>
        <v>0.11491389935988199</v>
      </c>
      <c r="N254" s="587">
        <f t="shared" si="70"/>
        <v>111048285.89999999</v>
      </c>
      <c r="O254" s="667">
        <v>12590076</v>
      </c>
      <c r="P254" s="684">
        <f t="shared" si="71"/>
        <v>402.16107626651183</v>
      </c>
      <c r="Q254" s="684">
        <f t="shared" si="72"/>
        <v>471.17043339880962</v>
      </c>
      <c r="R254" s="684">
        <f t="shared" si="73"/>
        <v>409.04560543975327</v>
      </c>
      <c r="S254" s="864"/>
      <c r="T254" s="864"/>
      <c r="U254" s="864"/>
      <c r="V254" s="864"/>
      <c r="W254" s="864"/>
      <c r="X254" s="864"/>
      <c r="Y254" s="731" t="str">
        <f t="shared" si="74"/>
        <v>FY2007</v>
      </c>
    </row>
    <row r="255" spans="1:25" s="52" customFormat="1" ht="18.75" customHeight="1" x14ac:dyDescent="0.25">
      <c r="B255" s="265" t="s">
        <v>31</v>
      </c>
      <c r="C255" s="588">
        <f>C161</f>
        <v>230900</v>
      </c>
      <c r="D255" s="567">
        <v>236578.22999999998</v>
      </c>
      <c r="E255" s="581">
        <f>E161</f>
        <v>236578.22999999998</v>
      </c>
      <c r="F255" s="568">
        <f t="shared" si="87"/>
        <v>0.91148591809603197</v>
      </c>
      <c r="G255" s="579">
        <f>G161</f>
        <v>22974.03</v>
      </c>
      <c r="H255" s="568">
        <f t="shared" si="88"/>
        <v>8.8514081903968006E-2</v>
      </c>
      <c r="I255" s="577">
        <f t="shared" si="89"/>
        <v>259552.25999999998</v>
      </c>
      <c r="J255" s="569">
        <f>J161</f>
        <v>84621195.149999991</v>
      </c>
      <c r="K255" s="584">
        <f t="shared" si="68"/>
        <v>0.87590431517874456</v>
      </c>
      <c r="L255" s="570">
        <f>L161</f>
        <v>11988895.34</v>
      </c>
      <c r="M255" s="586">
        <f t="shared" si="69"/>
        <v>0.12409568482125537</v>
      </c>
      <c r="N255" s="571">
        <f t="shared" si="70"/>
        <v>96610090.489999995</v>
      </c>
      <c r="O255" s="666">
        <v>9403801</v>
      </c>
      <c r="P255" s="685">
        <f t="shared" si="71"/>
        <v>357.68800514738825</v>
      </c>
      <c r="Q255" s="685">
        <f t="shared" si="72"/>
        <v>521.84555082412624</v>
      </c>
      <c r="R255" s="685">
        <f t="shared" si="73"/>
        <v>372.21825959057338</v>
      </c>
      <c r="S255" s="863">
        <f t="shared" ref="S255" si="102">+E255+E256</f>
        <v>473491.97</v>
      </c>
      <c r="T255" s="865">
        <f t="shared" ref="T255" si="103">+G255+G256</f>
        <v>52261.64</v>
      </c>
      <c r="U255" s="866">
        <f t="shared" ref="U255" si="104">+I255+I256</f>
        <v>525753.61</v>
      </c>
      <c r="V255" s="867">
        <f t="shared" ref="V255" si="105">+J255+J256</f>
        <v>152263394.19</v>
      </c>
      <c r="W255" s="867">
        <f t="shared" ref="W255" si="106">+L255+L256</f>
        <v>24408679.140000001</v>
      </c>
      <c r="X255" s="867">
        <f t="shared" ref="X255" si="107">+N255+N256</f>
        <v>176672073.32999998</v>
      </c>
      <c r="Y255" s="731" t="str">
        <f t="shared" si="74"/>
        <v>FY2008</v>
      </c>
    </row>
    <row r="256" spans="1:25" s="52" customFormat="1" ht="18.75" customHeight="1" x14ac:dyDescent="0.25">
      <c r="B256" s="591" t="s">
        <v>180</v>
      </c>
      <c r="C256" s="572">
        <f>+C171</f>
        <v>249040</v>
      </c>
      <c r="D256" s="589">
        <v>236913.74000000002</v>
      </c>
      <c r="E256" s="567">
        <f>+E171</f>
        <v>236913.74000000002</v>
      </c>
      <c r="F256" s="582">
        <f t="shared" si="87"/>
        <v>0.8899794835751208</v>
      </c>
      <c r="G256" s="572">
        <f>+G171</f>
        <v>29287.61</v>
      </c>
      <c r="H256" s="580">
        <f t="shared" si="88"/>
        <v>0.11002051642487913</v>
      </c>
      <c r="I256" s="575">
        <f t="shared" si="89"/>
        <v>266201.35000000003</v>
      </c>
      <c r="J256" s="583">
        <f>+J171</f>
        <v>67642199.040000007</v>
      </c>
      <c r="K256" s="574">
        <f t="shared" si="68"/>
        <v>0.84487289273336719</v>
      </c>
      <c r="L256" s="585">
        <f>+L171</f>
        <v>12419783.800000001</v>
      </c>
      <c r="M256" s="574">
        <f t="shared" si="69"/>
        <v>0.15512710726663287</v>
      </c>
      <c r="N256" s="587">
        <f t="shared" si="70"/>
        <v>80061982.840000004</v>
      </c>
      <c r="O256" s="667">
        <v>13569087</v>
      </c>
      <c r="P256" s="684">
        <f t="shared" si="71"/>
        <v>285.51404000460252</v>
      </c>
      <c r="Q256" s="684">
        <f t="shared" si="72"/>
        <v>424.06272823217739</v>
      </c>
      <c r="R256" s="684">
        <f t="shared" si="73"/>
        <v>300.75723823338984</v>
      </c>
      <c r="S256" s="864"/>
      <c r="T256" s="864"/>
      <c r="U256" s="864"/>
      <c r="V256" s="864"/>
      <c r="W256" s="864"/>
      <c r="X256" s="864"/>
      <c r="Y256" s="731" t="str">
        <f t="shared" si="74"/>
        <v>FY2009</v>
      </c>
    </row>
    <row r="257" spans="2:25" s="52" customFormat="1" ht="18.75" customHeight="1" x14ac:dyDescent="0.25">
      <c r="B257" s="265" t="s">
        <v>181</v>
      </c>
      <c r="C257" s="588">
        <f>+C181</f>
        <v>226621</v>
      </c>
      <c r="D257" s="567">
        <v>268142.3</v>
      </c>
      <c r="E257" s="581">
        <f>+E181</f>
        <v>268142.3</v>
      </c>
      <c r="F257" s="568">
        <f t="shared" si="87"/>
        <v>0.91530572686526923</v>
      </c>
      <c r="G257" s="579">
        <f>+G181</f>
        <v>24811.51</v>
      </c>
      <c r="H257" s="573">
        <f t="shared" si="88"/>
        <v>8.4694273134730685E-2</v>
      </c>
      <c r="I257" s="578">
        <f t="shared" si="89"/>
        <v>292953.81</v>
      </c>
      <c r="J257" s="569">
        <f>+J181</f>
        <v>62821429.510000005</v>
      </c>
      <c r="K257" s="584">
        <f t="shared" si="68"/>
        <v>0.88426800207093448</v>
      </c>
      <c r="L257" s="570">
        <f>+L181</f>
        <v>8221997.7800000003</v>
      </c>
      <c r="M257" s="586">
        <f t="shared" si="69"/>
        <v>0.11573199792906556</v>
      </c>
      <c r="N257" s="576">
        <f t="shared" si="70"/>
        <v>71043427.290000007</v>
      </c>
      <c r="O257" s="668">
        <v>9646062</v>
      </c>
      <c r="P257" s="685">
        <f t="shared" si="71"/>
        <v>234.28392129850459</v>
      </c>
      <c r="Q257" s="685">
        <f t="shared" si="72"/>
        <v>331.37837157029139</v>
      </c>
      <c r="R257" s="685">
        <f t="shared" si="73"/>
        <v>242.50726518968983</v>
      </c>
      <c r="S257" s="863">
        <f t="shared" ref="S257" si="108">+E257+E258</f>
        <v>507701.86</v>
      </c>
      <c r="T257" s="865">
        <f t="shared" ref="T257" si="109">+G257+G258</f>
        <v>56927.360000000001</v>
      </c>
      <c r="U257" s="866">
        <f t="shared" ref="U257" si="110">+I257+I258</f>
        <v>564629.22</v>
      </c>
      <c r="V257" s="867">
        <f t="shared" ref="V257" si="111">+J257+J258</f>
        <v>130848701.44000001</v>
      </c>
      <c r="W257" s="867">
        <f t="shared" ref="W257" si="112">+L257+L258</f>
        <v>19791901.809999999</v>
      </c>
      <c r="X257" s="867">
        <f t="shared" ref="X257" si="113">+N257+N258</f>
        <v>150640603.25</v>
      </c>
      <c r="Y257" s="731" t="str">
        <f t="shared" si="74"/>
        <v>FY2010</v>
      </c>
    </row>
    <row r="258" spans="2:25" s="52" customFormat="1" ht="18.75" customHeight="1" x14ac:dyDescent="0.25">
      <c r="B258" s="591" t="s">
        <v>186</v>
      </c>
      <c r="C258" s="572">
        <f>+C191</f>
        <v>235969</v>
      </c>
      <c r="D258" s="589">
        <v>239559.56</v>
      </c>
      <c r="E258" s="567">
        <f>+E191</f>
        <v>239559.56</v>
      </c>
      <c r="F258" s="582">
        <f t="shared" si="87"/>
        <v>0.8817859518459914</v>
      </c>
      <c r="G258" s="572">
        <f>+G191</f>
        <v>32115.85</v>
      </c>
      <c r="H258" s="580">
        <f t="shared" si="88"/>
        <v>0.11821404815400847</v>
      </c>
      <c r="I258" s="575">
        <f>+I191</f>
        <v>271675.41000000003</v>
      </c>
      <c r="J258" s="583">
        <f>+J191</f>
        <v>68027271.930000007</v>
      </c>
      <c r="K258" s="574">
        <f t="shared" si="68"/>
        <v>0.85464428994548469</v>
      </c>
      <c r="L258" s="585">
        <f>+L191</f>
        <v>11569904.029999999</v>
      </c>
      <c r="M258" s="574">
        <f t="shared" si="69"/>
        <v>0.14535571005451534</v>
      </c>
      <c r="N258" s="587">
        <f>+N191</f>
        <v>79597175.960000008</v>
      </c>
      <c r="O258" s="667">
        <v>8704304</v>
      </c>
      <c r="P258" s="684">
        <f t="shared" si="71"/>
        <v>283.96809515763016</v>
      </c>
      <c r="Q258" s="684">
        <f t="shared" si="72"/>
        <v>360.25526430096045</v>
      </c>
      <c r="R258" s="684">
        <f t="shared" si="73"/>
        <v>292.98631024427277</v>
      </c>
      <c r="S258" s="864"/>
      <c r="T258" s="864"/>
      <c r="U258" s="864"/>
      <c r="V258" s="864"/>
      <c r="W258" s="864"/>
      <c r="X258" s="864"/>
      <c r="Y258" s="731" t="str">
        <f t="shared" si="74"/>
        <v>FY2011</v>
      </c>
    </row>
    <row r="259" spans="2:25" s="52" customFormat="1" ht="18.75" customHeight="1" x14ac:dyDescent="0.25">
      <c r="B259" s="265" t="s">
        <v>191</v>
      </c>
      <c r="C259" s="588">
        <f>+C201</f>
        <v>215441</v>
      </c>
      <c r="D259" s="567">
        <v>229906.99</v>
      </c>
      <c r="E259" s="581">
        <f>+E201</f>
        <v>230691.46999999997</v>
      </c>
      <c r="F259" s="568">
        <f t="shared" si="87"/>
        <v>0.87734923030770662</v>
      </c>
      <c r="G259" s="579">
        <f>+G201</f>
        <v>32249.97</v>
      </c>
      <c r="H259" s="568">
        <f t="shared" si="88"/>
        <v>0.12265076969229349</v>
      </c>
      <c r="I259" s="577">
        <f>+I201</f>
        <v>262941.43999999994</v>
      </c>
      <c r="J259" s="569">
        <f>+J201</f>
        <v>71311312.930000022</v>
      </c>
      <c r="K259" s="584">
        <f t="shared" si="68"/>
        <v>0.85591590488175939</v>
      </c>
      <c r="L259" s="570">
        <f>+L201</f>
        <v>12004480.739999998</v>
      </c>
      <c r="M259" s="586">
        <f t="shared" si="69"/>
        <v>0.14408409511824069</v>
      </c>
      <c r="N259" s="571">
        <f>+N201</f>
        <v>83315793.670000017</v>
      </c>
      <c r="O259" s="666">
        <v>11048329</v>
      </c>
      <c r="P259" s="685">
        <f t="shared" si="71"/>
        <v>309.11985141886709</v>
      </c>
      <c r="Q259" s="685">
        <f t="shared" si="72"/>
        <v>372.23230719284385</v>
      </c>
      <c r="R259" s="685">
        <f t="shared" si="73"/>
        <v>316.86064269671618</v>
      </c>
      <c r="S259" s="863">
        <f t="shared" ref="S259" si="114">+E259+E260</f>
        <v>460179.24</v>
      </c>
      <c r="T259" s="865">
        <f t="shared" ref="T259" si="115">+G259+G260</f>
        <v>43326.210000000006</v>
      </c>
      <c r="U259" s="866">
        <f t="shared" ref="U259" si="116">+I259+I260</f>
        <v>503505.44999999995</v>
      </c>
      <c r="V259" s="867">
        <f t="shared" ref="V259" si="117">+J259+J260</f>
        <v>150577707.80000001</v>
      </c>
      <c r="W259" s="867">
        <f t="shared" ref="W259" si="118">+L259+L260</f>
        <v>15603510.52</v>
      </c>
      <c r="X259" s="867">
        <f t="shared" ref="X259" si="119">+N259+N260</f>
        <v>166181218.31999999</v>
      </c>
      <c r="Y259" s="731" t="str">
        <f t="shared" si="74"/>
        <v>FY2012</v>
      </c>
    </row>
    <row r="260" spans="2:25" s="52" customFormat="1" ht="18.75" customHeight="1" x14ac:dyDescent="0.25">
      <c r="B260" s="591" t="s">
        <v>195</v>
      </c>
      <c r="C260" s="572">
        <f>+C211</f>
        <v>239894</v>
      </c>
      <c r="D260" s="589">
        <v>229487.77</v>
      </c>
      <c r="E260" s="567">
        <f>+E211</f>
        <v>229487.77</v>
      </c>
      <c r="F260" s="582">
        <f t="shared" si="87"/>
        <v>0.9539572024925923</v>
      </c>
      <c r="G260" s="572">
        <f>+G211</f>
        <v>11076.240000000002</v>
      </c>
      <c r="H260" s="580">
        <f t="shared" si="88"/>
        <v>4.6042797507407709E-2</v>
      </c>
      <c r="I260" s="575">
        <f>+I211</f>
        <v>240564.00999999998</v>
      </c>
      <c r="J260" s="583">
        <f>+J211</f>
        <v>79266394.86999999</v>
      </c>
      <c r="K260" s="574">
        <f t="shared" si="68"/>
        <v>0.95656777485662714</v>
      </c>
      <c r="L260" s="585">
        <f>+L211</f>
        <v>3599029.7800000003</v>
      </c>
      <c r="M260" s="574">
        <f t="shared" si="69"/>
        <v>4.3432225143372881E-2</v>
      </c>
      <c r="N260" s="587">
        <f>+N211</f>
        <v>82865424.649999991</v>
      </c>
      <c r="O260" s="667">
        <v>2096383</v>
      </c>
      <c r="P260" s="684">
        <f t="shared" si="71"/>
        <v>345.40574807101916</v>
      </c>
      <c r="Q260" s="684">
        <f t="shared" si="72"/>
        <v>324.9324481954165</v>
      </c>
      <c r="R260" s="684">
        <f t="shared" si="73"/>
        <v>344.46310007053842</v>
      </c>
      <c r="S260" s="864"/>
      <c r="T260" s="864"/>
      <c r="U260" s="864"/>
      <c r="V260" s="864"/>
      <c r="W260" s="864"/>
      <c r="X260" s="864"/>
      <c r="Y260" s="731" t="str">
        <f t="shared" si="74"/>
        <v>FY2013</v>
      </c>
    </row>
    <row r="261" spans="2:25" s="52" customFormat="1" ht="18.75" customHeight="1" x14ac:dyDescent="0.25">
      <c r="B261" s="265" t="s">
        <v>197</v>
      </c>
      <c r="C261" s="588">
        <f>C221</f>
        <v>225507</v>
      </c>
      <c r="D261" s="567">
        <v>220858.9</v>
      </c>
      <c r="E261" s="581">
        <f>E221</f>
        <v>220858.9</v>
      </c>
      <c r="F261" s="568">
        <f t="shared" si="87"/>
        <v>0.95270848183081058</v>
      </c>
      <c r="G261" s="579">
        <f>G221</f>
        <v>10963.22</v>
      </c>
      <c r="H261" s="573">
        <f t="shared" si="88"/>
        <v>4.7291518169189375E-2</v>
      </c>
      <c r="I261" s="578">
        <f>I221</f>
        <v>231822.12</v>
      </c>
      <c r="J261" s="569">
        <f>J221</f>
        <v>81170164.050000012</v>
      </c>
      <c r="K261" s="584">
        <f t="shared" si="68"/>
        <v>0.9527202681856336</v>
      </c>
      <c r="L261" s="570">
        <f>L221</f>
        <v>4028153.6100000003</v>
      </c>
      <c r="M261" s="586">
        <f t="shared" si="69"/>
        <v>4.7279731814366434E-2</v>
      </c>
      <c r="N261" s="576">
        <f>N221</f>
        <v>85198317.660000011</v>
      </c>
      <c r="O261" s="668">
        <v>3556385</v>
      </c>
      <c r="P261" s="685">
        <f t="shared" si="71"/>
        <v>367.52045785793558</v>
      </c>
      <c r="Q261" s="685">
        <f t="shared" si="72"/>
        <v>367.42431603123907</v>
      </c>
      <c r="R261" s="685">
        <f t="shared" si="73"/>
        <v>367.51591116499156</v>
      </c>
      <c r="S261" s="863">
        <f t="shared" ref="S261" si="120">+E261+E262</f>
        <v>479760.43</v>
      </c>
      <c r="T261" s="865">
        <f t="shared" ref="T261" si="121">+G261+G262</f>
        <v>26236.22</v>
      </c>
      <c r="U261" s="866">
        <f t="shared" ref="U261" si="122">+I261+I262</f>
        <v>505996.65</v>
      </c>
      <c r="V261" s="867">
        <f t="shared" ref="V261" si="123">+J261+J262</f>
        <v>178741256.05000001</v>
      </c>
      <c r="W261" s="867">
        <f t="shared" ref="W261" si="124">+L261+L262</f>
        <v>9988728.6099999994</v>
      </c>
      <c r="X261" s="867">
        <f t="shared" ref="X261" si="125">+N261+N262</f>
        <v>188729984.66000003</v>
      </c>
      <c r="Y261" s="731" t="str">
        <f t="shared" si="74"/>
        <v>FY2014</v>
      </c>
    </row>
    <row r="262" spans="2:25" s="52" customFormat="1" ht="18.75" customHeight="1" x14ac:dyDescent="0.25">
      <c r="B262" s="591" t="s">
        <v>273</v>
      </c>
      <c r="C262" s="572">
        <f>+C231</f>
        <v>237992</v>
      </c>
      <c r="D262" s="589">
        <f>+D231</f>
        <v>228616</v>
      </c>
      <c r="E262" s="567">
        <f>+E231</f>
        <v>258901.53</v>
      </c>
      <c r="F262" s="582">
        <f t="shared" si="87"/>
        <v>0.9442946067966268</v>
      </c>
      <c r="G262" s="572">
        <f>+G231</f>
        <v>15273</v>
      </c>
      <c r="H262" s="580">
        <f t="shared" si="88"/>
        <v>5.570539320337304E-2</v>
      </c>
      <c r="I262" s="575">
        <f>+I231</f>
        <v>274174.53000000003</v>
      </c>
      <c r="J262" s="583">
        <f>+J231</f>
        <v>97571092</v>
      </c>
      <c r="K262" s="574">
        <f t="shared" si="68"/>
        <v>0.94242751833600824</v>
      </c>
      <c r="L262" s="585">
        <f>+L231</f>
        <v>5960575</v>
      </c>
      <c r="M262" s="574">
        <f t="shared" si="69"/>
        <v>5.7572481663991752E-2</v>
      </c>
      <c r="N262" s="587">
        <f>+N231</f>
        <v>103531667</v>
      </c>
      <c r="O262" s="667"/>
      <c r="P262" s="684">
        <f t="shared" si="71"/>
        <v>376.86564463330905</v>
      </c>
      <c r="Q262" s="684">
        <f t="shared" si="72"/>
        <v>390.26877496235187</v>
      </c>
      <c r="R262" s="684">
        <f t="shared" si="73"/>
        <v>377.61227127844438</v>
      </c>
      <c r="S262" s="864"/>
      <c r="T262" s="864"/>
      <c r="U262" s="864"/>
      <c r="V262" s="864"/>
      <c r="W262" s="864"/>
      <c r="X262" s="864"/>
      <c r="Y262" s="731" t="str">
        <f t="shared" si="74"/>
        <v>FY2015</v>
      </c>
    </row>
    <row r="263" spans="2:25" s="52" customFormat="1" ht="18.75" customHeight="1" x14ac:dyDescent="0.25">
      <c r="B263" s="265" t="s">
        <v>312</v>
      </c>
      <c r="C263" s="588">
        <f>+C241</f>
        <v>240491</v>
      </c>
      <c r="D263" s="567">
        <f>+D241</f>
        <v>0</v>
      </c>
      <c r="E263" s="715">
        <f>+E241</f>
        <v>0</v>
      </c>
      <c r="F263" s="573">
        <f t="shared" si="87"/>
        <v>0</v>
      </c>
      <c r="G263" s="579">
        <f>+G241</f>
        <v>0</v>
      </c>
      <c r="H263" s="573">
        <f t="shared" si="88"/>
        <v>0</v>
      </c>
      <c r="I263" s="578">
        <f>+I241</f>
        <v>0</v>
      </c>
      <c r="J263" s="569">
        <f>+J241</f>
        <v>0</v>
      </c>
      <c r="K263" s="716">
        <f t="shared" si="68"/>
        <v>0</v>
      </c>
      <c r="L263" s="569">
        <f>+L241</f>
        <v>0</v>
      </c>
      <c r="M263" s="580">
        <f t="shared" si="69"/>
        <v>0</v>
      </c>
      <c r="N263" s="576">
        <f>+N241</f>
        <v>0</v>
      </c>
      <c r="O263" s="668"/>
      <c r="P263" s="717"/>
      <c r="Q263" s="717"/>
      <c r="R263" s="718"/>
      <c r="S263" s="863"/>
      <c r="T263" s="865"/>
      <c r="U263" s="866"/>
      <c r="V263" s="867"/>
      <c r="W263" s="867"/>
      <c r="X263" s="867"/>
      <c r="Y263" s="731" t="str">
        <f t="shared" si="74"/>
        <v>FY2016</v>
      </c>
    </row>
    <row r="264" spans="2:25" s="52" customFormat="1" ht="18.75" customHeight="1" x14ac:dyDescent="0.25">
      <c r="B264" s="591" t="s">
        <v>519</v>
      </c>
      <c r="C264" s="572"/>
      <c r="D264" s="589"/>
      <c r="E264" s="567"/>
      <c r="F264" s="582"/>
      <c r="G264" s="572"/>
      <c r="H264" s="580"/>
      <c r="I264" s="575"/>
      <c r="J264" s="583"/>
      <c r="K264" s="574"/>
      <c r="L264" s="585"/>
      <c r="M264" s="574"/>
      <c r="N264" s="587"/>
      <c r="O264" s="728"/>
      <c r="P264" s="729"/>
      <c r="Q264" s="729"/>
      <c r="R264" s="730"/>
      <c r="S264" s="864"/>
      <c r="T264" s="864"/>
      <c r="U264" s="864"/>
      <c r="V264" s="864"/>
      <c r="W264" s="864"/>
      <c r="X264" s="864"/>
      <c r="Y264" s="731" t="str">
        <f t="shared" si="74"/>
        <v>FY2017</v>
      </c>
    </row>
    <row r="265" spans="2:25" s="52" customFormat="1" ht="18.75" customHeight="1" thickBot="1" x14ac:dyDescent="0.3">
      <c r="B265" s="598"/>
      <c r="C265" s="719"/>
      <c r="D265" s="719"/>
      <c r="E265" s="720"/>
      <c r="F265" s="720"/>
      <c r="G265" s="721"/>
      <c r="H265" s="721"/>
      <c r="I265" s="719"/>
      <c r="J265" s="722"/>
      <c r="K265" s="722"/>
      <c r="L265" s="722"/>
      <c r="M265" s="722"/>
      <c r="N265" s="723"/>
      <c r="O265" s="724"/>
      <c r="P265" s="725"/>
      <c r="Q265" s="725"/>
      <c r="R265" s="725"/>
      <c r="S265" s="726"/>
      <c r="T265" s="727"/>
      <c r="U265" s="727"/>
      <c r="V265" s="727"/>
      <c r="W265" s="727"/>
      <c r="X265" s="727"/>
    </row>
    <row r="266" spans="2:25" s="53" customFormat="1" ht="18.75" customHeight="1" x14ac:dyDescent="0.25">
      <c r="B266" s="266" t="s">
        <v>32</v>
      </c>
      <c r="C266" s="274">
        <f>AVERAGE(C260:C262)</f>
        <v>234464.33333333334</v>
      </c>
      <c r="D266" s="274">
        <f>AVERAGE(D260:D262)</f>
        <v>226320.88999999998</v>
      </c>
      <c r="E266" s="267">
        <f>AVERAGE(E260:E262)</f>
        <v>236416.06666666665</v>
      </c>
      <c r="F266" s="267"/>
      <c r="G266" s="267">
        <f>AVERAGE(G260:G262)</f>
        <v>12437.486666666666</v>
      </c>
      <c r="H266" s="267"/>
      <c r="I266" s="267">
        <f t="shared" ref="I266:N266" si="126">AVERAGE(I260:I262)</f>
        <v>248853.55333333334</v>
      </c>
      <c r="J266" s="268">
        <f t="shared" si="126"/>
        <v>86002550.306666672</v>
      </c>
      <c r="K266" s="268"/>
      <c r="L266" s="268">
        <f t="shared" si="126"/>
        <v>4529252.7966666669</v>
      </c>
      <c r="M266" s="268"/>
      <c r="N266" s="268">
        <f t="shared" si="126"/>
        <v>90531803.103333339</v>
      </c>
      <c r="O266" s="669">
        <f>AVERAGE(O260:O262)</f>
        <v>2826384</v>
      </c>
    </row>
    <row r="267" spans="2:25" s="53" customFormat="1" ht="18.75" customHeight="1" thickBot="1" x14ac:dyDescent="0.3">
      <c r="B267" s="269" t="s">
        <v>33</v>
      </c>
      <c r="C267" s="275">
        <f>AVERAGE(C258:C262)</f>
        <v>230960.6</v>
      </c>
      <c r="D267" s="275">
        <f>AVERAGE(D258:D262)</f>
        <v>229685.84399999998</v>
      </c>
      <c r="E267" s="270">
        <f>AVERAGE(E258:E262)</f>
        <v>235899.84599999999</v>
      </c>
      <c r="F267" s="270"/>
      <c r="G267" s="270">
        <f>AVERAGE(G258:G262)</f>
        <v>20335.655999999999</v>
      </c>
      <c r="H267" s="270"/>
      <c r="I267" s="270">
        <f t="shared" ref="I267:N267" si="127">AVERAGE(I258:I262)</f>
        <v>256235.50200000001</v>
      </c>
      <c r="J267" s="271">
        <f t="shared" si="127"/>
        <v>79469247.156000003</v>
      </c>
      <c r="K267" s="271"/>
      <c r="L267" s="271">
        <f t="shared" si="127"/>
        <v>7432428.6319999993</v>
      </c>
      <c r="M267" s="271"/>
      <c r="N267" s="271">
        <f t="shared" si="127"/>
        <v>86901675.788000017</v>
      </c>
      <c r="O267" s="670">
        <f>AVERAGE(O258:O262)</f>
        <v>6351350.25</v>
      </c>
    </row>
    <row r="268" spans="2:25" s="53" customFormat="1" ht="18.75" customHeight="1" x14ac:dyDescent="0.25">
      <c r="B268" s="598"/>
      <c r="C268" s="599"/>
      <c r="D268" s="599"/>
      <c r="E268" s="600"/>
      <c r="F268" s="600"/>
      <c r="G268" s="600"/>
      <c r="H268" s="600"/>
      <c r="I268" s="600"/>
      <c r="J268" s="601"/>
      <c r="K268" s="601"/>
      <c r="L268" s="601"/>
      <c r="M268" s="601"/>
      <c r="N268" s="601"/>
      <c r="O268" s="671"/>
    </row>
    <row r="269" spans="2:25" s="48" customFormat="1" ht="36.6" thickBot="1" x14ac:dyDescent="0.3">
      <c r="B269" s="547" t="s">
        <v>427</v>
      </c>
      <c r="C269" s="549" t="s">
        <v>318</v>
      </c>
      <c r="D269" s="549" t="s">
        <v>317</v>
      </c>
      <c r="E269" s="550" t="s">
        <v>310</v>
      </c>
      <c r="F269" s="551" t="s">
        <v>416</v>
      </c>
      <c r="G269" s="551" t="s">
        <v>311</v>
      </c>
      <c r="H269" s="552" t="s">
        <v>417</v>
      </c>
      <c r="I269" s="553" t="s">
        <v>319</v>
      </c>
      <c r="J269" s="554" t="s">
        <v>308</v>
      </c>
      <c r="K269" s="551" t="s">
        <v>418</v>
      </c>
      <c r="L269" s="555" t="s">
        <v>307</v>
      </c>
      <c r="M269" s="556" t="s">
        <v>415</v>
      </c>
      <c r="N269" s="557" t="s">
        <v>309</v>
      </c>
      <c r="O269" s="659" t="s">
        <v>425</v>
      </c>
    </row>
    <row r="270" spans="2:25" s="52" customFormat="1" ht="23.25" customHeight="1" thickTop="1" x14ac:dyDescent="0.25">
      <c r="B270" s="592" t="s">
        <v>34</v>
      </c>
      <c r="C270" s="593">
        <f>IF(C254=0,"",+(C254-C253)/C253)</f>
        <v>-0.26616618324517999</v>
      </c>
      <c r="D270" s="593">
        <f t="shared" ref="D270:N270" si="128">IF(D254=0,"",+(D254-D253)/D253)</f>
        <v>-0.11740531180823241</v>
      </c>
      <c r="E270" s="593">
        <f t="shared" si="128"/>
        <v>-0.11740531180823241</v>
      </c>
      <c r="F270" s="593">
        <f t="shared" si="128"/>
        <v>-4.1787066204611402E-2</v>
      </c>
      <c r="G270" s="593">
        <f t="shared" si="128"/>
        <v>0.51874685272020316</v>
      </c>
      <c r="H270" s="593">
        <f t="shared" si="128"/>
        <v>0.64886883742647128</v>
      </c>
      <c r="I270" s="593">
        <f t="shared" si="128"/>
        <v>-7.8915909957617117E-2</v>
      </c>
      <c r="J270" s="593">
        <f t="shared" si="128"/>
        <v>-4.7149870673083606E-2</v>
      </c>
      <c r="K270" s="593">
        <f t="shared" si="128"/>
        <v>-4.9619209816510294E-2</v>
      </c>
      <c r="L270" s="593">
        <f t="shared" si="128"/>
        <v>0.67694684869880495</v>
      </c>
      <c r="M270" s="593">
        <f t="shared" si="128"/>
        <v>0.67260099160387732</v>
      </c>
      <c r="N270" s="593">
        <f t="shared" si="128"/>
        <v>2.5982628951811632E-3</v>
      </c>
      <c r="O270" s="654">
        <f t="shared" ref="O270:O279" si="129">IF(O254=0,"",+(O254-O253)/O253)</f>
        <v>0.30378032914921443</v>
      </c>
    </row>
    <row r="271" spans="2:25" s="52" customFormat="1" ht="23.25" customHeight="1" x14ac:dyDescent="0.25">
      <c r="B271" s="594" t="s">
        <v>35</v>
      </c>
      <c r="C271" s="595">
        <f t="shared" ref="C271:N279" si="130">IF(C255=0,"",+(C255-C254)/C254)</f>
        <v>-2.390564562152565E-2</v>
      </c>
      <c r="D271" s="595">
        <f t="shared" si="130"/>
        <v>-3.1995374099680042E-2</v>
      </c>
      <c r="E271" s="595">
        <f t="shared" si="130"/>
        <v>-3.1995374099680042E-2</v>
      </c>
      <c r="F271" s="595">
        <f t="shared" si="130"/>
        <v>1.2494670961577874E-2</v>
      </c>
      <c r="G271" s="595">
        <f t="shared" si="130"/>
        <v>-0.15173647521009034</v>
      </c>
      <c r="H271" s="595">
        <f t="shared" si="130"/>
        <v>-0.1127497994939242</v>
      </c>
      <c r="I271" s="595">
        <f t="shared" si="130"/>
        <v>-4.3941016518146428E-2</v>
      </c>
      <c r="J271" s="595">
        <f t="shared" si="130"/>
        <v>-0.1390423786754692</v>
      </c>
      <c r="K271" s="595">
        <f t="shared" si="130"/>
        <v>-1.0373889562532932E-2</v>
      </c>
      <c r="L271" s="595">
        <f t="shared" si="130"/>
        <v>-6.0504405709758569E-2</v>
      </c>
      <c r="M271" s="595">
        <f t="shared" si="130"/>
        <v>7.9901435009339425E-2</v>
      </c>
      <c r="N271" s="595">
        <f t="shared" si="130"/>
        <v>-0.13001727395415832</v>
      </c>
      <c r="O271" s="655">
        <f t="shared" si="129"/>
        <v>-0.25307829754165106</v>
      </c>
    </row>
    <row r="272" spans="2:25" s="52" customFormat="1" ht="23.25" customHeight="1" x14ac:dyDescent="0.25">
      <c r="B272" s="594" t="s">
        <v>182</v>
      </c>
      <c r="C272" s="595">
        <f t="shared" si="130"/>
        <v>7.8562148116067557E-2</v>
      </c>
      <c r="D272" s="595">
        <f t="shared" si="130"/>
        <v>1.4181778264214693E-3</v>
      </c>
      <c r="E272" s="595">
        <f t="shared" si="130"/>
        <v>1.4181778264214693E-3</v>
      </c>
      <c r="F272" s="595">
        <f t="shared" si="130"/>
        <v>-2.359491693062591E-2</v>
      </c>
      <c r="G272" s="595">
        <f t="shared" si="130"/>
        <v>0.27481377886248087</v>
      </c>
      <c r="H272" s="595">
        <f t="shared" si="130"/>
        <v>0.24297189846293837</v>
      </c>
      <c r="I272" s="595">
        <f t="shared" si="130"/>
        <v>2.5617538448711851E-2</v>
      </c>
      <c r="J272" s="595">
        <f t="shared" si="130"/>
        <v>-0.20064708469199619</v>
      </c>
      <c r="K272" s="595">
        <f t="shared" si="130"/>
        <v>-3.5427867984695154E-2</v>
      </c>
      <c r="L272" s="595">
        <f t="shared" si="130"/>
        <v>3.5940630707015656E-2</v>
      </c>
      <c r="M272" s="595">
        <f t="shared" si="130"/>
        <v>0.25006044722727033</v>
      </c>
      <c r="N272" s="595">
        <f t="shared" si="130"/>
        <v>-0.1712875701292596</v>
      </c>
      <c r="O272" s="655">
        <f t="shared" si="129"/>
        <v>0.44293642538798939</v>
      </c>
    </row>
    <row r="273" spans="1:15" s="52" customFormat="1" ht="23.25" customHeight="1" x14ac:dyDescent="0.25">
      <c r="B273" s="594" t="s">
        <v>183</v>
      </c>
      <c r="C273" s="595">
        <f t="shared" si="130"/>
        <v>-9.0021683263732735E-2</v>
      </c>
      <c r="D273" s="595">
        <f t="shared" si="130"/>
        <v>0.13181405181480807</v>
      </c>
      <c r="E273" s="595">
        <f t="shared" si="130"/>
        <v>0.13181405181480807</v>
      </c>
      <c r="F273" s="595">
        <f t="shared" si="130"/>
        <v>2.8457109132910378E-2</v>
      </c>
      <c r="G273" s="595">
        <f t="shared" si="130"/>
        <v>-0.15283254591275977</v>
      </c>
      <c r="H273" s="595">
        <f t="shared" si="130"/>
        <v>-0.23019564089613179</v>
      </c>
      <c r="I273" s="595">
        <f t="shared" si="130"/>
        <v>0.1004970861342362</v>
      </c>
      <c r="J273" s="595">
        <f t="shared" si="130"/>
        <v>-7.1268669534963733E-2</v>
      </c>
      <c r="K273" s="595">
        <f t="shared" si="130"/>
        <v>4.662844515003272E-2</v>
      </c>
      <c r="L273" s="595">
        <f t="shared" si="130"/>
        <v>-0.33799187551074766</v>
      </c>
      <c r="M273" s="595">
        <f t="shared" si="130"/>
        <v>-0.25395374175227087</v>
      </c>
      <c r="N273" s="595">
        <f t="shared" si="130"/>
        <v>-0.11264466891886932</v>
      </c>
      <c r="O273" s="655">
        <f t="shared" si="129"/>
        <v>-0.28911488296891308</v>
      </c>
    </row>
    <row r="274" spans="1:15" s="52" customFormat="1" ht="23.25" customHeight="1" x14ac:dyDescent="0.25">
      <c r="B274" s="594" t="s">
        <v>187</v>
      </c>
      <c r="C274" s="595">
        <f t="shared" si="130"/>
        <v>4.124948702900437E-2</v>
      </c>
      <c r="D274" s="595">
        <f t="shared" si="130"/>
        <v>-0.10659541594146091</v>
      </c>
      <c r="E274" s="595">
        <f t="shared" si="130"/>
        <v>-0.10659541594146091</v>
      </c>
      <c r="F274" s="595">
        <f t="shared" si="130"/>
        <v>-3.6621397676682363E-2</v>
      </c>
      <c r="G274" s="595">
        <f t="shared" si="130"/>
        <v>0.29439320702367572</v>
      </c>
      <c r="H274" s="595">
        <f t="shared" si="130"/>
        <v>0.39577380829462827</v>
      </c>
      <c r="I274" s="595">
        <f t="shared" si="130"/>
        <v>-7.2633975984131988E-2</v>
      </c>
      <c r="J274" s="595">
        <f t="shared" si="130"/>
        <v>8.28673027755812E-2</v>
      </c>
      <c r="K274" s="595">
        <f t="shared" si="130"/>
        <v>-3.3500830128503759E-2</v>
      </c>
      <c r="L274" s="595">
        <f t="shared" si="130"/>
        <v>0.40718890220863074</v>
      </c>
      <c r="M274" s="595">
        <f t="shared" si="130"/>
        <v>0.25596820806296572</v>
      </c>
      <c r="N274" s="595">
        <f t="shared" si="130"/>
        <v>0.12040168944951812</v>
      </c>
      <c r="O274" s="655">
        <f t="shared" si="129"/>
        <v>-9.7631344272927134E-2</v>
      </c>
    </row>
    <row r="275" spans="1:15" ht="28.5" customHeight="1" x14ac:dyDescent="0.25">
      <c r="A275" s="1"/>
      <c r="B275" s="594" t="s">
        <v>192</v>
      </c>
      <c r="C275" s="595">
        <f t="shared" si="130"/>
        <v>-8.6994478088223456E-2</v>
      </c>
      <c r="D275" s="595">
        <f t="shared" si="130"/>
        <v>-4.029298601149546E-2</v>
      </c>
      <c r="E275" s="595">
        <f t="shared" si="130"/>
        <v>-3.7018309768142944E-2</v>
      </c>
      <c r="F275" s="595">
        <f t="shared" si="130"/>
        <v>-5.0315176024256728E-3</v>
      </c>
      <c r="G275" s="595">
        <f t="shared" si="130"/>
        <v>4.1761311003757533E-3</v>
      </c>
      <c r="H275" s="595">
        <f t="shared" si="130"/>
        <v>3.7531254597633665E-2</v>
      </c>
      <c r="I275" s="595">
        <f t="shared" si="130"/>
        <v>-3.2148548151634655E-2</v>
      </c>
      <c r="J275" s="595">
        <f t="shared" si="130"/>
        <v>4.8275359379092692E-2</v>
      </c>
      <c r="K275" s="595">
        <f t="shared" si="130"/>
        <v>1.4878879450020237E-3</v>
      </c>
      <c r="L275" s="595">
        <f t="shared" si="130"/>
        <v>3.756096065042288E-2</v>
      </c>
      <c r="M275" s="595">
        <f t="shared" si="130"/>
        <v>-8.7482970968098123E-3</v>
      </c>
      <c r="N275" s="595">
        <f t="shared" si="130"/>
        <v>4.6717960344079622E-2</v>
      </c>
      <c r="O275" s="655">
        <f t="shared" si="129"/>
        <v>0.26929493730917486</v>
      </c>
    </row>
    <row r="276" spans="1:15" ht="28.5" customHeight="1" x14ac:dyDescent="0.25">
      <c r="A276" s="1"/>
      <c r="B276" s="594" t="s">
        <v>274</v>
      </c>
      <c r="C276" s="595">
        <f t="shared" si="130"/>
        <v>0.11350207249316518</v>
      </c>
      <c r="D276" s="595">
        <f t="shared" si="130"/>
        <v>-1.8234330326363768E-3</v>
      </c>
      <c r="E276" s="595">
        <f t="shared" si="130"/>
        <v>-5.2177915377624616E-3</v>
      </c>
      <c r="F276" s="595">
        <f t="shared" si="130"/>
        <v>8.731753506869494E-2</v>
      </c>
      <c r="G276" s="595">
        <f t="shared" si="130"/>
        <v>-0.65655037818639828</v>
      </c>
      <c r="H276" s="595">
        <f t="shared" si="130"/>
        <v>-0.62460245766969114</v>
      </c>
      <c r="I276" s="595">
        <f t="shared" si="130"/>
        <v>-8.510423461589002E-2</v>
      </c>
      <c r="J276" s="595">
        <f t="shared" si="130"/>
        <v>0.11155427677805856</v>
      </c>
      <c r="K276" s="595">
        <f t="shared" si="130"/>
        <v>0.11759551306477044</v>
      </c>
      <c r="L276" s="595">
        <f t="shared" si="130"/>
        <v>-0.70019279817679125</v>
      </c>
      <c r="M276" s="595">
        <f t="shared" si="130"/>
        <v>-0.69856336254372275</v>
      </c>
      <c r="N276" s="595">
        <f t="shared" si="130"/>
        <v>-5.4055659816896456E-3</v>
      </c>
      <c r="O276" s="655">
        <f t="shared" si="129"/>
        <v>-0.81025338763898147</v>
      </c>
    </row>
    <row r="277" spans="1:15" ht="28.5" customHeight="1" x14ac:dyDescent="0.25">
      <c r="A277" s="1"/>
      <c r="B277" s="594" t="s">
        <v>275</v>
      </c>
      <c r="C277" s="595">
        <f t="shared" si="130"/>
        <v>-5.997232110848958E-2</v>
      </c>
      <c r="D277" s="595">
        <f t="shared" si="130"/>
        <v>-3.7600565816644588E-2</v>
      </c>
      <c r="E277" s="595">
        <f t="shared" si="130"/>
        <v>-3.7600565816644588E-2</v>
      </c>
      <c r="F277" s="595">
        <f t="shared" si="130"/>
        <v>-1.3089902340680929E-3</v>
      </c>
      <c r="G277" s="595">
        <f t="shared" si="130"/>
        <v>-1.0203823680238261E-2</v>
      </c>
      <c r="H277" s="595">
        <f t="shared" si="130"/>
        <v>2.7120868613180214E-2</v>
      </c>
      <c r="I277" s="595">
        <f t="shared" si="130"/>
        <v>-3.6339143166095315E-2</v>
      </c>
      <c r="J277" s="595">
        <f t="shared" si="130"/>
        <v>2.4017355439493349E-2</v>
      </c>
      <c r="K277" s="595">
        <f t="shared" si="130"/>
        <v>-4.0221997563844479E-3</v>
      </c>
      <c r="L277" s="595">
        <f t="shared" si="130"/>
        <v>0.1192331978981291</v>
      </c>
      <c r="M277" s="595">
        <f t="shared" si="130"/>
        <v>8.8586450689382326E-2</v>
      </c>
      <c r="N277" s="595">
        <f t="shared" si="130"/>
        <v>2.8152791346372719E-2</v>
      </c>
      <c r="O277" s="655">
        <f t="shared" si="129"/>
        <v>0.69643858016402538</v>
      </c>
    </row>
    <row r="278" spans="1:15" ht="28.5" customHeight="1" x14ac:dyDescent="0.25">
      <c r="A278" s="1"/>
      <c r="B278" s="594" t="s">
        <v>276</v>
      </c>
      <c r="C278" s="595">
        <f t="shared" si="130"/>
        <v>5.5364135037936739E-2</v>
      </c>
      <c r="D278" s="595">
        <f t="shared" si="130"/>
        <v>3.5122424317063999E-2</v>
      </c>
      <c r="E278" s="595">
        <f t="shared" si="130"/>
        <v>0.17224857137294447</v>
      </c>
      <c r="F278" s="595">
        <f t="shared" si="130"/>
        <v>-8.8315315698826585E-3</v>
      </c>
      <c r="G278" s="595">
        <f t="shared" si="130"/>
        <v>0.39311260742738002</v>
      </c>
      <c r="H278" s="595">
        <f t="shared" si="130"/>
        <v>0.17791509682734905</v>
      </c>
      <c r="I278" s="595">
        <f t="shared" si="130"/>
        <v>0.18269356694693342</v>
      </c>
      <c r="J278" s="595">
        <f t="shared" si="130"/>
        <v>0.20205611436114851</v>
      </c>
      <c r="K278" s="595">
        <f t="shared" si="130"/>
        <v>-1.0803538240271656E-2</v>
      </c>
      <c r="L278" s="595">
        <f t="shared" si="130"/>
        <v>0.47972882295320401</v>
      </c>
      <c r="M278" s="595">
        <f t="shared" si="130"/>
        <v>0.21769898970741963</v>
      </c>
      <c r="N278" s="595">
        <f t="shared" si="130"/>
        <v>0.21518440555554963</v>
      </c>
      <c r="O278" s="655" t="str">
        <f t="shared" si="129"/>
        <v/>
      </c>
    </row>
    <row r="279" spans="1:15" ht="28.5" customHeight="1" x14ac:dyDescent="0.25">
      <c r="A279" s="1"/>
      <c r="B279" s="596" t="s">
        <v>313</v>
      </c>
      <c r="C279" s="597">
        <f t="shared" si="130"/>
        <v>1.0500352953040437E-2</v>
      </c>
      <c r="D279" s="597" t="str">
        <f t="shared" si="130"/>
        <v/>
      </c>
      <c r="E279" s="597" t="str">
        <f t="shared" si="130"/>
        <v/>
      </c>
      <c r="F279" s="597" t="str">
        <f t="shared" si="130"/>
        <v/>
      </c>
      <c r="G279" s="597" t="str">
        <f t="shared" si="130"/>
        <v/>
      </c>
      <c r="H279" s="597" t="str">
        <f t="shared" si="130"/>
        <v/>
      </c>
      <c r="I279" s="597" t="str">
        <f t="shared" si="130"/>
        <v/>
      </c>
      <c r="J279" s="597" t="str">
        <f t="shared" si="130"/>
        <v/>
      </c>
      <c r="K279" s="597" t="str">
        <f t="shared" si="130"/>
        <v/>
      </c>
      <c r="L279" s="597" t="str">
        <f t="shared" si="130"/>
        <v/>
      </c>
      <c r="M279" s="597" t="str">
        <f t="shared" si="130"/>
        <v/>
      </c>
      <c r="N279" s="597" t="str">
        <f t="shared" si="130"/>
        <v/>
      </c>
      <c r="O279" s="656" t="str">
        <f t="shared" si="129"/>
        <v/>
      </c>
    </row>
    <row r="280" spans="1:15" ht="17.399999999999999" customHeight="1" x14ac:dyDescent="0.25"/>
    <row r="281" spans="1:15" ht="36.6" thickBot="1" x14ac:dyDescent="0.3">
      <c r="B281" s="604" t="s">
        <v>428</v>
      </c>
      <c r="C281" s="602" t="s">
        <v>318</v>
      </c>
      <c r="D281" s="549" t="s">
        <v>317</v>
      </c>
      <c r="E281" s="550" t="s">
        <v>310</v>
      </c>
      <c r="F281" s="551" t="s">
        <v>416</v>
      </c>
      <c r="G281" s="551" t="s">
        <v>311</v>
      </c>
      <c r="H281" s="552" t="s">
        <v>417</v>
      </c>
      <c r="I281" s="553" t="s">
        <v>319</v>
      </c>
      <c r="J281" s="554" t="s">
        <v>308</v>
      </c>
      <c r="K281" s="551" t="s">
        <v>418</v>
      </c>
      <c r="L281" s="555" t="s">
        <v>307</v>
      </c>
      <c r="M281" s="556" t="s">
        <v>415</v>
      </c>
      <c r="N281" s="557" t="s">
        <v>309</v>
      </c>
      <c r="O281" s="659" t="s">
        <v>425</v>
      </c>
    </row>
    <row r="282" spans="1:15" ht="21.6" customHeight="1" thickTop="1" x14ac:dyDescent="0.25">
      <c r="B282" s="603" t="s">
        <v>265</v>
      </c>
      <c r="C282" s="595">
        <f>(C261-C260)/C260</f>
        <v>-5.997232110848958E-2</v>
      </c>
      <c r="D282" s="595">
        <f>(D261-D260)/D260</f>
        <v>-3.7600565816644588E-2</v>
      </c>
      <c r="E282" s="595">
        <f>(E261-E260)/E260</f>
        <v>-3.7600565816644588E-2</v>
      </c>
      <c r="F282" s="595">
        <f t="shared" ref="F282:O282" si="131">(F261-F260)/F260</f>
        <v>-1.3089902340680929E-3</v>
      </c>
      <c r="G282" s="595">
        <f t="shared" si="131"/>
        <v>-1.0203823680238261E-2</v>
      </c>
      <c r="H282" s="595">
        <f t="shared" si="131"/>
        <v>2.7120868613180214E-2</v>
      </c>
      <c r="I282" s="595">
        <f t="shared" si="131"/>
        <v>-3.6339143166095315E-2</v>
      </c>
      <c r="J282" s="595">
        <f t="shared" si="131"/>
        <v>2.4017355439493349E-2</v>
      </c>
      <c r="K282" s="595">
        <f t="shared" si="131"/>
        <v>-4.0221997563844479E-3</v>
      </c>
      <c r="L282" s="595">
        <f t="shared" si="131"/>
        <v>0.1192331978981291</v>
      </c>
      <c r="M282" s="595">
        <f t="shared" si="131"/>
        <v>8.8586450689382326E-2</v>
      </c>
      <c r="N282" s="595">
        <f t="shared" si="131"/>
        <v>2.8152791346372719E-2</v>
      </c>
      <c r="O282" s="655">
        <f t="shared" si="131"/>
        <v>0.69643858016402538</v>
      </c>
    </row>
    <row r="283" spans="1:15" ht="21.6" customHeight="1" x14ac:dyDescent="0.25">
      <c r="B283" s="197" t="s">
        <v>314</v>
      </c>
      <c r="C283" s="595">
        <f>(C261-C257)/C257</f>
        <v>-4.9156962505681294E-3</v>
      </c>
      <c r="D283" s="595">
        <f>(D261-D257)/D257</f>
        <v>-0.17633696734905308</v>
      </c>
      <c r="E283" s="595">
        <f>(E261-E257)/E257</f>
        <v>-0.17633696734905308</v>
      </c>
      <c r="F283" s="595">
        <f t="shared" ref="F283:O283" si="132">(F261-F257)/F257</f>
        <v>4.0863674144854277E-2</v>
      </c>
      <c r="G283" s="595">
        <f t="shared" si="132"/>
        <v>-0.55813975046258768</v>
      </c>
      <c r="H283" s="595">
        <f t="shared" si="132"/>
        <v>-0.44162082725524349</v>
      </c>
      <c r="I283" s="595">
        <f t="shared" si="132"/>
        <v>-0.20867347654567114</v>
      </c>
      <c r="J283" s="595">
        <f t="shared" si="132"/>
        <v>0.29207763470392262</v>
      </c>
      <c r="K283" s="595">
        <f t="shared" si="132"/>
        <v>7.7411221433304783E-2</v>
      </c>
      <c r="L283" s="595">
        <f t="shared" si="132"/>
        <v>-0.51007605234357045</v>
      </c>
      <c r="M283" s="595">
        <f t="shared" si="132"/>
        <v>-0.59147225779904766</v>
      </c>
      <c r="N283" s="595">
        <f t="shared" si="132"/>
        <v>0.19924278585574984</v>
      </c>
      <c r="O283" s="655">
        <f t="shared" si="132"/>
        <v>-0.63131223912929446</v>
      </c>
    </row>
    <row r="284" spans="1:15" x14ac:dyDescent="0.25">
      <c r="B284" s="198"/>
      <c r="C284" s="199"/>
      <c r="D284" s="199"/>
      <c r="E284" s="199"/>
      <c r="F284" s="199"/>
      <c r="G284" s="199"/>
      <c r="H284" s="199"/>
      <c r="I284" s="199"/>
      <c r="J284" s="200"/>
      <c r="K284" s="200"/>
      <c r="L284" s="200"/>
      <c r="M284" s="200"/>
      <c r="N284" s="201"/>
      <c r="O284" s="658"/>
    </row>
    <row r="285" spans="1:15" x14ac:dyDescent="0.25">
      <c r="B285" s="198"/>
      <c r="C285" s="199"/>
      <c r="D285" s="199"/>
      <c r="E285" s="199"/>
      <c r="F285" s="199"/>
      <c r="G285" s="199"/>
      <c r="H285" s="199"/>
      <c r="I285" s="199"/>
      <c r="J285" s="200"/>
      <c r="K285" s="200"/>
      <c r="L285" s="200"/>
      <c r="M285" s="200"/>
      <c r="N285" s="201"/>
      <c r="O285" s="658"/>
    </row>
    <row r="286" spans="1:15" x14ac:dyDescent="0.25">
      <c r="B286" s="198"/>
      <c r="C286" s="199"/>
      <c r="D286" s="199"/>
      <c r="E286" s="199"/>
      <c r="F286" s="199"/>
      <c r="G286" s="199"/>
      <c r="H286" s="199"/>
      <c r="I286" s="199"/>
      <c r="J286" s="200"/>
      <c r="K286" s="200"/>
      <c r="L286" s="200"/>
      <c r="M286" s="200"/>
      <c r="N286" s="201"/>
      <c r="O286" s="658"/>
    </row>
    <row r="287" spans="1:15" x14ac:dyDescent="0.25">
      <c r="B287" s="198"/>
      <c r="C287" s="199"/>
      <c r="D287" s="199"/>
      <c r="E287" s="199"/>
      <c r="F287" s="199"/>
      <c r="G287" s="199"/>
      <c r="H287" s="199"/>
      <c r="I287" s="199"/>
      <c r="J287" s="200"/>
      <c r="K287" s="200"/>
      <c r="L287" s="200"/>
      <c r="M287" s="200"/>
      <c r="N287" s="201"/>
      <c r="O287" s="658"/>
    </row>
    <row r="288" spans="1:15" x14ac:dyDescent="0.25">
      <c r="B288" s="198"/>
      <c r="C288" s="199"/>
      <c r="D288" s="199"/>
      <c r="E288" s="199"/>
      <c r="F288" s="199"/>
      <c r="G288" s="199"/>
      <c r="H288" s="199"/>
      <c r="I288" s="199"/>
      <c r="J288" s="200"/>
      <c r="K288" s="200"/>
      <c r="L288" s="200"/>
      <c r="M288" s="200"/>
      <c r="N288" s="201"/>
      <c r="O288" s="658"/>
    </row>
    <row r="289" spans="2:15" x14ac:dyDescent="0.25">
      <c r="B289" s="198"/>
      <c r="C289" s="199"/>
      <c r="D289" s="199"/>
      <c r="E289" s="199"/>
      <c r="F289" s="199"/>
      <c r="G289" s="199"/>
      <c r="H289" s="199"/>
      <c r="I289" s="199"/>
      <c r="J289" s="200"/>
      <c r="K289" s="200"/>
      <c r="L289" s="200"/>
      <c r="M289" s="200"/>
      <c r="N289" s="201"/>
      <c r="O289" s="658"/>
    </row>
    <row r="290" spans="2:15" x14ac:dyDescent="0.25">
      <c r="B290" s="198"/>
      <c r="C290" s="199"/>
      <c r="D290" s="199"/>
      <c r="E290" s="199"/>
      <c r="F290" s="199"/>
      <c r="G290" s="199"/>
      <c r="H290" s="199"/>
      <c r="I290" s="199"/>
      <c r="J290" s="200"/>
      <c r="K290" s="200"/>
      <c r="L290" s="200"/>
      <c r="M290" s="200"/>
      <c r="N290" s="201"/>
      <c r="O290" s="658"/>
    </row>
    <row r="291" spans="2:15" x14ac:dyDescent="0.25">
      <c r="B291" s="198"/>
      <c r="C291" s="199"/>
      <c r="D291" s="199"/>
      <c r="E291" s="199"/>
      <c r="F291" s="199"/>
      <c r="G291" s="199"/>
      <c r="H291" s="199"/>
      <c r="I291" s="199"/>
      <c r="J291" s="200"/>
      <c r="K291" s="200"/>
      <c r="L291" s="200"/>
      <c r="M291" s="200"/>
      <c r="N291" s="201"/>
      <c r="O291" s="658"/>
    </row>
    <row r="292" spans="2:15" x14ac:dyDescent="0.25">
      <c r="B292" s="198"/>
      <c r="C292" s="199"/>
      <c r="D292" s="199"/>
      <c r="E292" s="199"/>
      <c r="F292" s="199"/>
      <c r="G292" s="199"/>
      <c r="H292" s="199"/>
      <c r="I292" s="199"/>
      <c r="J292" s="200"/>
      <c r="K292" s="200"/>
      <c r="L292" s="200"/>
      <c r="M292" s="200"/>
      <c r="N292" s="201"/>
      <c r="O292" s="658"/>
    </row>
    <row r="293" spans="2:15" x14ac:dyDescent="0.25">
      <c r="B293" s="198"/>
      <c r="C293" s="199"/>
      <c r="D293" s="199"/>
      <c r="E293" s="199"/>
      <c r="F293" s="199"/>
      <c r="G293" s="199"/>
      <c r="H293" s="199"/>
      <c r="I293" s="199"/>
      <c r="J293" s="200"/>
      <c r="K293" s="200"/>
      <c r="L293" s="200"/>
      <c r="M293" s="200"/>
      <c r="N293" s="201"/>
      <c r="O293" s="658"/>
    </row>
    <row r="294" spans="2:15" x14ac:dyDescent="0.25">
      <c r="B294" s="198"/>
      <c r="C294" s="199"/>
      <c r="D294" s="199"/>
      <c r="E294" s="199"/>
      <c r="F294" s="199"/>
      <c r="G294" s="199"/>
      <c r="H294" s="199"/>
      <c r="I294" s="199"/>
      <c r="J294" s="200"/>
      <c r="K294" s="200"/>
      <c r="L294" s="200"/>
      <c r="M294" s="200"/>
      <c r="N294" s="201"/>
      <c r="O294" s="658"/>
    </row>
    <row r="295" spans="2:15" x14ac:dyDescent="0.25">
      <c r="B295" s="198"/>
      <c r="C295" s="199"/>
      <c r="D295" s="199"/>
      <c r="E295" s="199"/>
      <c r="F295" s="199"/>
      <c r="G295" s="199"/>
      <c r="H295" s="199"/>
      <c r="I295" s="199"/>
      <c r="J295" s="200"/>
      <c r="K295" s="200"/>
      <c r="L295" s="200"/>
      <c r="M295" s="200"/>
      <c r="N295" s="201"/>
      <c r="O295" s="658"/>
    </row>
    <row r="296" spans="2:15" x14ac:dyDescent="0.25">
      <c r="B296" s="198"/>
      <c r="C296" s="199"/>
      <c r="D296" s="199"/>
      <c r="E296" s="199"/>
      <c r="F296" s="199"/>
      <c r="G296" s="199"/>
      <c r="H296" s="199"/>
      <c r="I296" s="199"/>
      <c r="J296" s="200"/>
      <c r="K296" s="200"/>
      <c r="L296" s="200"/>
      <c r="M296" s="200"/>
      <c r="N296" s="201"/>
      <c r="O296" s="658"/>
    </row>
    <row r="297" spans="2:15" x14ac:dyDescent="0.25">
      <c r="B297" s="198"/>
      <c r="C297" s="199"/>
      <c r="D297" s="199"/>
      <c r="E297" s="199"/>
      <c r="F297" s="199"/>
      <c r="G297" s="199"/>
      <c r="H297" s="199"/>
      <c r="I297" s="199"/>
      <c r="J297" s="200"/>
      <c r="K297" s="200"/>
      <c r="L297" s="200"/>
      <c r="M297" s="200"/>
      <c r="N297" s="201"/>
      <c r="O297" s="658"/>
    </row>
    <row r="298" spans="2:15" x14ac:dyDescent="0.25">
      <c r="B298" s="198"/>
      <c r="C298" s="199"/>
      <c r="D298" s="199"/>
      <c r="E298" s="199"/>
      <c r="F298" s="199"/>
      <c r="G298" s="199"/>
      <c r="H298" s="199"/>
      <c r="I298" s="199"/>
      <c r="J298" s="200"/>
      <c r="K298" s="200"/>
      <c r="L298" s="200"/>
      <c r="M298" s="200"/>
      <c r="N298" s="201"/>
      <c r="O298" s="658"/>
    </row>
    <row r="299" spans="2:15" x14ac:dyDescent="0.25">
      <c r="B299" s="198"/>
      <c r="C299" s="199"/>
      <c r="D299" s="199"/>
      <c r="E299" s="199"/>
      <c r="F299" s="199"/>
      <c r="G299" s="199"/>
      <c r="H299" s="199"/>
      <c r="I299" s="199"/>
      <c r="J299" s="200"/>
      <c r="K299" s="200"/>
      <c r="L299" s="200"/>
      <c r="M299" s="200"/>
      <c r="N299" s="201"/>
      <c r="O299" s="658"/>
    </row>
    <row r="300" spans="2:15" x14ac:dyDescent="0.25">
      <c r="B300" s="198"/>
      <c r="C300" s="199"/>
      <c r="D300" s="199"/>
      <c r="E300" s="199"/>
      <c r="F300" s="199"/>
      <c r="G300" s="199"/>
      <c r="H300" s="199"/>
      <c r="I300" s="199"/>
      <c r="J300" s="200"/>
      <c r="K300" s="200"/>
      <c r="L300" s="200"/>
      <c r="M300" s="200"/>
      <c r="N300" s="201"/>
      <c r="O300" s="658"/>
    </row>
    <row r="301" spans="2:15" x14ac:dyDescent="0.25">
      <c r="B301" s="198"/>
      <c r="C301" s="199"/>
      <c r="D301" s="199"/>
      <c r="E301" s="199"/>
      <c r="F301" s="199"/>
      <c r="G301" s="199"/>
      <c r="H301" s="199"/>
      <c r="I301" s="199"/>
      <c r="J301" s="200"/>
      <c r="K301" s="200"/>
      <c r="L301" s="200"/>
      <c r="M301" s="200"/>
      <c r="N301" s="201"/>
      <c r="O301" s="658"/>
    </row>
    <row r="302" spans="2:15" x14ac:dyDescent="0.25">
      <c r="B302" s="198"/>
      <c r="C302" s="199"/>
      <c r="D302" s="199"/>
      <c r="E302" s="199"/>
      <c r="F302" s="199"/>
      <c r="G302" s="199"/>
      <c r="H302" s="199"/>
      <c r="I302" s="199"/>
      <c r="J302" s="200"/>
      <c r="K302" s="200"/>
      <c r="L302" s="200"/>
      <c r="M302" s="200"/>
      <c r="N302" s="201"/>
      <c r="O302" s="658"/>
    </row>
    <row r="303" spans="2:15" x14ac:dyDescent="0.25">
      <c r="B303" s="198"/>
      <c r="C303" s="199"/>
      <c r="D303" s="199"/>
      <c r="E303" s="199"/>
      <c r="F303" s="199"/>
      <c r="G303" s="199"/>
      <c r="H303" s="199"/>
      <c r="I303" s="199"/>
      <c r="J303" s="200"/>
      <c r="K303" s="200"/>
      <c r="L303" s="200"/>
      <c r="M303" s="200"/>
      <c r="N303" s="201"/>
      <c r="O303" s="658"/>
    </row>
    <row r="304" spans="2:15" x14ac:dyDescent="0.25">
      <c r="B304" s="198"/>
      <c r="C304" s="199"/>
      <c r="D304" s="199"/>
      <c r="E304" s="199"/>
      <c r="F304" s="199"/>
      <c r="G304" s="199"/>
      <c r="H304" s="199"/>
      <c r="I304" s="199"/>
      <c r="J304" s="200"/>
      <c r="K304" s="200"/>
      <c r="L304" s="200"/>
      <c r="M304" s="200"/>
      <c r="N304" s="201"/>
      <c r="O304" s="658"/>
    </row>
    <row r="305" spans="2:15" x14ac:dyDescent="0.25">
      <c r="B305" s="198"/>
      <c r="C305" s="199"/>
      <c r="D305" s="199"/>
      <c r="E305" s="199"/>
      <c r="F305" s="199"/>
      <c r="G305" s="199"/>
      <c r="H305" s="199"/>
      <c r="I305" s="199"/>
      <c r="J305" s="200"/>
      <c r="K305" s="200"/>
      <c r="L305" s="200"/>
      <c r="M305" s="200"/>
      <c r="N305" s="201"/>
      <c r="O305" s="658"/>
    </row>
    <row r="306" spans="2:15" x14ac:dyDescent="0.25">
      <c r="B306" s="198"/>
      <c r="C306" s="199"/>
      <c r="D306" s="199"/>
      <c r="E306" s="199"/>
      <c r="F306" s="199"/>
      <c r="G306" s="199"/>
      <c r="H306" s="199"/>
      <c r="I306" s="199"/>
      <c r="J306" s="200"/>
      <c r="K306" s="200"/>
      <c r="L306" s="200"/>
      <c r="M306" s="200"/>
      <c r="N306" s="201"/>
      <c r="O306" s="658"/>
    </row>
    <row r="307" spans="2:15" x14ac:dyDescent="0.25">
      <c r="B307" s="198"/>
      <c r="C307" s="199"/>
      <c r="D307" s="199"/>
      <c r="E307" s="199"/>
      <c r="F307" s="199"/>
      <c r="G307" s="199"/>
      <c r="H307" s="199"/>
      <c r="I307" s="199"/>
      <c r="J307" s="200"/>
      <c r="K307" s="200"/>
      <c r="L307" s="200"/>
      <c r="M307" s="200"/>
      <c r="N307" s="201"/>
      <c r="O307" s="658"/>
    </row>
    <row r="308" spans="2:15" x14ac:dyDescent="0.25">
      <c r="B308" s="198"/>
      <c r="C308" s="199"/>
      <c r="D308" s="199"/>
      <c r="E308" s="199"/>
      <c r="F308" s="199"/>
      <c r="G308" s="199"/>
      <c r="H308" s="199"/>
      <c r="I308" s="199"/>
      <c r="J308" s="200"/>
      <c r="K308" s="200"/>
      <c r="L308" s="200"/>
      <c r="M308" s="200"/>
      <c r="N308" s="201"/>
      <c r="O308" s="658"/>
    </row>
    <row r="309" spans="2:15" x14ac:dyDescent="0.25">
      <c r="B309" s="198"/>
      <c r="C309" s="199"/>
      <c r="D309" s="199"/>
      <c r="E309" s="199"/>
      <c r="F309" s="199"/>
      <c r="G309" s="199"/>
      <c r="H309" s="199"/>
      <c r="I309" s="199"/>
      <c r="J309" s="200"/>
      <c r="K309" s="200"/>
      <c r="L309" s="200"/>
      <c r="M309" s="200"/>
      <c r="N309" s="201"/>
      <c r="O309" s="658"/>
    </row>
    <row r="310" spans="2:15" x14ac:dyDescent="0.25">
      <c r="B310" s="198"/>
      <c r="C310" s="199"/>
      <c r="D310" s="199"/>
      <c r="E310" s="199"/>
      <c r="F310" s="199"/>
      <c r="G310" s="199"/>
      <c r="H310" s="199"/>
      <c r="I310" s="199"/>
      <c r="J310" s="200"/>
      <c r="K310" s="200"/>
      <c r="L310" s="200"/>
      <c r="M310" s="200"/>
      <c r="N310" s="201"/>
      <c r="O310" s="658"/>
    </row>
    <row r="311" spans="2:15" x14ac:dyDescent="0.25">
      <c r="B311" s="198"/>
      <c r="C311" s="199"/>
      <c r="D311" s="199"/>
      <c r="E311" s="199"/>
      <c r="F311" s="199"/>
      <c r="G311" s="199"/>
      <c r="H311" s="199"/>
      <c r="I311" s="199"/>
      <c r="J311" s="200"/>
      <c r="K311" s="200"/>
      <c r="L311" s="200"/>
      <c r="M311" s="200"/>
      <c r="N311" s="201"/>
      <c r="O311" s="658"/>
    </row>
    <row r="312" spans="2:15" x14ac:dyDescent="0.25">
      <c r="B312" s="198"/>
      <c r="C312" s="199"/>
      <c r="D312" s="199"/>
      <c r="E312" s="199"/>
      <c r="F312" s="199"/>
      <c r="G312" s="199"/>
      <c r="H312" s="199"/>
      <c r="I312" s="199"/>
      <c r="J312" s="200"/>
      <c r="K312" s="200"/>
      <c r="L312" s="200"/>
      <c r="M312" s="200"/>
      <c r="N312" s="201"/>
      <c r="O312" s="658"/>
    </row>
    <row r="313" spans="2:15" x14ac:dyDescent="0.25">
      <c r="B313" s="198"/>
      <c r="C313" s="199"/>
      <c r="D313" s="199"/>
      <c r="E313" s="199"/>
      <c r="F313" s="199"/>
      <c r="G313" s="199"/>
      <c r="H313" s="199"/>
      <c r="I313" s="199"/>
      <c r="J313" s="200"/>
      <c r="K313" s="200"/>
      <c r="L313" s="200"/>
      <c r="M313" s="200"/>
      <c r="N313" s="201"/>
      <c r="O313" s="658"/>
    </row>
    <row r="314" spans="2:15" x14ac:dyDescent="0.25">
      <c r="B314" s="198"/>
      <c r="C314" s="199"/>
      <c r="D314" s="199"/>
      <c r="E314" s="199"/>
      <c r="F314" s="199"/>
      <c r="G314" s="199"/>
      <c r="H314" s="199"/>
      <c r="I314" s="199"/>
      <c r="J314" s="200"/>
      <c r="K314" s="200"/>
      <c r="L314" s="200"/>
      <c r="M314" s="200"/>
      <c r="N314" s="201"/>
      <c r="O314" s="658"/>
    </row>
    <row r="315" spans="2:15" x14ac:dyDescent="0.25">
      <c r="B315" s="198"/>
      <c r="C315" s="199"/>
      <c r="D315" s="199"/>
      <c r="E315" s="199"/>
      <c r="F315" s="199"/>
      <c r="G315" s="199"/>
      <c r="H315" s="199"/>
      <c r="I315" s="199"/>
      <c r="J315" s="200"/>
      <c r="K315" s="200"/>
      <c r="L315" s="200"/>
      <c r="M315" s="200"/>
      <c r="N315" s="201"/>
      <c r="O315" s="658"/>
    </row>
    <row r="316" spans="2:15" x14ac:dyDescent="0.25">
      <c r="B316" s="198"/>
      <c r="C316" s="199"/>
      <c r="D316" s="199"/>
      <c r="E316" s="199"/>
      <c r="F316" s="199"/>
      <c r="G316" s="199"/>
      <c r="H316" s="199"/>
      <c r="I316" s="199"/>
      <c r="J316" s="200"/>
      <c r="K316" s="200"/>
      <c r="L316" s="200"/>
      <c r="M316" s="200"/>
      <c r="N316" s="201"/>
      <c r="O316" s="658"/>
    </row>
    <row r="317" spans="2:15" x14ac:dyDescent="0.25">
      <c r="B317" s="198"/>
      <c r="C317" s="199"/>
      <c r="D317" s="199"/>
      <c r="E317" s="199"/>
      <c r="F317" s="199"/>
      <c r="G317" s="199"/>
      <c r="H317" s="199"/>
      <c r="I317" s="199"/>
      <c r="J317" s="200"/>
      <c r="K317" s="200"/>
      <c r="L317" s="200"/>
      <c r="M317" s="200"/>
      <c r="N317" s="201"/>
      <c r="O317" s="658"/>
    </row>
    <row r="318" spans="2:15" x14ac:dyDescent="0.25">
      <c r="B318" s="198"/>
      <c r="C318" s="199"/>
      <c r="D318" s="199"/>
      <c r="E318" s="199"/>
      <c r="F318" s="199"/>
      <c r="G318" s="199"/>
      <c r="H318" s="199"/>
      <c r="I318" s="199"/>
      <c r="J318" s="200"/>
      <c r="K318" s="200"/>
      <c r="L318" s="200"/>
      <c r="M318" s="200"/>
      <c r="N318" s="201"/>
      <c r="O318" s="658"/>
    </row>
    <row r="319" spans="2:15" x14ac:dyDescent="0.25">
      <c r="B319" s="198"/>
      <c r="C319" s="199"/>
      <c r="D319" s="199"/>
      <c r="E319" s="199"/>
      <c r="F319" s="199"/>
      <c r="G319" s="199"/>
      <c r="H319" s="199"/>
      <c r="I319" s="199"/>
      <c r="J319" s="200"/>
      <c r="K319" s="200"/>
      <c r="L319" s="200"/>
      <c r="M319" s="200"/>
      <c r="N319" s="201"/>
      <c r="O319" s="658"/>
    </row>
    <row r="320" spans="2:15" x14ac:dyDescent="0.25">
      <c r="B320" s="198"/>
      <c r="C320" s="199"/>
      <c r="D320" s="199"/>
      <c r="E320" s="199"/>
      <c r="F320" s="199"/>
      <c r="G320" s="199"/>
      <c r="H320" s="199"/>
      <c r="I320" s="199"/>
      <c r="J320" s="200"/>
      <c r="K320" s="200"/>
      <c r="L320" s="200"/>
      <c r="M320" s="200"/>
      <c r="N320" s="201"/>
      <c r="O320" s="658"/>
    </row>
    <row r="321" spans="2:15" x14ac:dyDescent="0.25">
      <c r="B321" s="198"/>
      <c r="C321" s="199"/>
      <c r="D321" s="199"/>
      <c r="E321" s="199"/>
      <c r="F321" s="199"/>
      <c r="G321" s="199"/>
      <c r="H321" s="199"/>
      <c r="I321" s="199"/>
      <c r="J321" s="200"/>
      <c r="K321" s="200"/>
      <c r="L321" s="200"/>
      <c r="M321" s="200"/>
      <c r="N321" s="201"/>
      <c r="O321" s="658"/>
    </row>
    <row r="322" spans="2:15" x14ac:dyDescent="0.25">
      <c r="B322" s="198"/>
      <c r="C322" s="199"/>
      <c r="D322" s="199"/>
      <c r="E322" s="199"/>
      <c r="F322" s="199"/>
      <c r="G322" s="199"/>
      <c r="H322" s="199"/>
      <c r="I322" s="199"/>
      <c r="J322" s="200"/>
      <c r="K322" s="200"/>
      <c r="L322" s="200"/>
      <c r="M322" s="200"/>
      <c r="N322" s="201"/>
      <c r="O322" s="658"/>
    </row>
    <row r="323" spans="2:15" x14ac:dyDescent="0.25">
      <c r="B323" s="198"/>
      <c r="C323" s="199"/>
      <c r="D323" s="199"/>
      <c r="E323" s="199"/>
      <c r="F323" s="199"/>
      <c r="G323" s="199"/>
      <c r="H323" s="199"/>
      <c r="I323" s="199"/>
      <c r="J323" s="200"/>
      <c r="K323" s="200"/>
      <c r="L323" s="200"/>
      <c r="M323" s="200"/>
      <c r="N323" s="201"/>
      <c r="O323" s="658"/>
    </row>
    <row r="324" spans="2:15" x14ac:dyDescent="0.25">
      <c r="B324" s="198"/>
      <c r="C324" s="199"/>
      <c r="D324" s="199"/>
      <c r="E324" s="199"/>
      <c r="F324" s="199"/>
      <c r="G324" s="199"/>
      <c r="H324" s="199"/>
      <c r="I324" s="199"/>
      <c r="J324" s="200"/>
      <c r="K324" s="200"/>
      <c r="L324" s="200"/>
      <c r="M324" s="200"/>
      <c r="N324" s="201"/>
      <c r="O324" s="658"/>
    </row>
    <row r="325" spans="2:15" x14ac:dyDescent="0.25">
      <c r="B325" s="198"/>
      <c r="C325" s="199"/>
      <c r="D325" s="199"/>
      <c r="E325" s="199"/>
      <c r="F325" s="199"/>
      <c r="G325" s="199"/>
      <c r="H325" s="199"/>
      <c r="I325" s="199"/>
      <c r="J325" s="200"/>
      <c r="K325" s="200"/>
      <c r="L325" s="200"/>
      <c r="M325" s="200"/>
      <c r="N325" s="201"/>
      <c r="O325" s="658"/>
    </row>
    <row r="326" spans="2:15" x14ac:dyDescent="0.25">
      <c r="B326" s="198"/>
      <c r="C326" s="199"/>
      <c r="D326" s="199"/>
      <c r="E326" s="199"/>
      <c r="F326" s="199"/>
      <c r="G326" s="199"/>
      <c r="H326" s="199"/>
      <c r="I326" s="199"/>
      <c r="J326" s="200"/>
      <c r="K326" s="200"/>
      <c r="L326" s="200"/>
      <c r="M326" s="200"/>
      <c r="N326" s="201"/>
      <c r="O326" s="658"/>
    </row>
    <row r="327" spans="2:15" x14ac:dyDescent="0.25">
      <c r="B327" s="198"/>
      <c r="C327" s="199"/>
      <c r="D327" s="199"/>
      <c r="E327" s="199"/>
      <c r="F327" s="199"/>
      <c r="G327" s="199"/>
      <c r="H327" s="199"/>
      <c r="I327" s="199"/>
      <c r="J327" s="200"/>
      <c r="K327" s="200"/>
      <c r="L327" s="200"/>
      <c r="M327" s="200"/>
      <c r="N327" s="201"/>
      <c r="O327" s="658"/>
    </row>
    <row r="328" spans="2:15" x14ac:dyDescent="0.25">
      <c r="B328" s="198"/>
      <c r="C328" s="199"/>
      <c r="D328" s="199"/>
      <c r="E328" s="199"/>
      <c r="F328" s="199"/>
      <c r="G328" s="199"/>
      <c r="H328" s="199"/>
      <c r="I328" s="199"/>
      <c r="J328" s="200"/>
      <c r="K328" s="200"/>
      <c r="L328" s="200"/>
      <c r="M328" s="200"/>
      <c r="N328" s="201"/>
      <c r="O328" s="658"/>
    </row>
    <row r="329" spans="2:15" x14ac:dyDescent="0.25">
      <c r="B329" s="198"/>
      <c r="C329" s="199"/>
      <c r="D329" s="199"/>
      <c r="E329" s="199"/>
      <c r="F329" s="199"/>
      <c r="G329" s="199"/>
      <c r="H329" s="199"/>
      <c r="I329" s="199"/>
      <c r="J329" s="200"/>
      <c r="K329" s="200"/>
      <c r="L329" s="200"/>
      <c r="M329" s="200"/>
      <c r="N329" s="201"/>
      <c r="O329" s="658"/>
    </row>
    <row r="330" spans="2:15" x14ac:dyDescent="0.25">
      <c r="B330" s="198"/>
      <c r="C330" s="199"/>
      <c r="D330" s="199"/>
      <c r="E330" s="199"/>
      <c r="F330" s="199"/>
      <c r="G330" s="199"/>
      <c r="H330" s="199"/>
      <c r="I330" s="199"/>
      <c r="J330" s="200"/>
      <c r="K330" s="200"/>
      <c r="L330" s="200"/>
      <c r="M330" s="200"/>
      <c r="N330" s="201"/>
      <c r="O330" s="658"/>
    </row>
    <row r="331" spans="2:15" x14ac:dyDescent="0.25">
      <c r="B331" s="198"/>
      <c r="C331" s="199"/>
      <c r="D331" s="199"/>
      <c r="E331" s="199"/>
      <c r="F331" s="199"/>
      <c r="G331" s="199"/>
      <c r="H331" s="199"/>
      <c r="I331" s="199"/>
      <c r="J331" s="200"/>
      <c r="K331" s="200"/>
      <c r="L331" s="200"/>
      <c r="M331" s="200"/>
      <c r="N331" s="201"/>
      <c r="O331" s="658"/>
    </row>
    <row r="332" spans="2:15" x14ac:dyDescent="0.25">
      <c r="B332" s="198"/>
      <c r="C332" s="199"/>
      <c r="D332" s="199"/>
      <c r="E332" s="199"/>
      <c r="F332" s="199"/>
      <c r="G332" s="199"/>
      <c r="H332" s="199"/>
      <c r="I332" s="199"/>
      <c r="J332" s="200"/>
      <c r="K332" s="200"/>
      <c r="L332" s="200"/>
      <c r="M332" s="200"/>
      <c r="N332" s="201"/>
      <c r="O332" s="658"/>
    </row>
    <row r="333" spans="2:15" x14ac:dyDescent="0.25">
      <c r="B333" s="198"/>
      <c r="C333" s="199"/>
      <c r="D333" s="199"/>
      <c r="E333" s="199"/>
      <c r="F333" s="199"/>
      <c r="G333" s="199"/>
      <c r="H333" s="199"/>
      <c r="I333" s="199"/>
      <c r="J333" s="200"/>
      <c r="K333" s="200"/>
      <c r="L333" s="200"/>
      <c r="M333" s="200"/>
      <c r="N333" s="201"/>
      <c r="O333" s="658"/>
    </row>
    <row r="334" spans="2:15" x14ac:dyDescent="0.25">
      <c r="B334" s="198"/>
      <c r="C334" s="199"/>
      <c r="D334" s="199"/>
      <c r="E334" s="199"/>
      <c r="F334" s="199"/>
      <c r="G334" s="199"/>
      <c r="H334" s="199"/>
      <c r="I334" s="199"/>
      <c r="J334" s="200"/>
      <c r="K334" s="200"/>
      <c r="L334" s="200"/>
      <c r="M334" s="200"/>
      <c r="N334" s="201"/>
      <c r="O334" s="658"/>
    </row>
    <row r="335" spans="2:15" x14ac:dyDescent="0.25">
      <c r="B335" s="198"/>
      <c r="C335" s="199"/>
      <c r="D335" s="199"/>
      <c r="E335" s="199"/>
      <c r="F335" s="199"/>
      <c r="G335" s="199"/>
      <c r="H335" s="199"/>
      <c r="I335" s="199"/>
      <c r="J335" s="200"/>
      <c r="K335" s="200"/>
      <c r="L335" s="200"/>
      <c r="M335" s="200"/>
      <c r="N335" s="201"/>
      <c r="O335" s="658"/>
    </row>
    <row r="336" spans="2:15" x14ac:dyDescent="0.25">
      <c r="B336" s="198"/>
      <c r="C336" s="199"/>
      <c r="D336" s="199"/>
      <c r="E336" s="199"/>
      <c r="F336" s="199"/>
      <c r="G336" s="199"/>
      <c r="H336" s="199"/>
      <c r="I336" s="199"/>
      <c r="J336" s="200"/>
      <c r="K336" s="200"/>
      <c r="L336" s="200"/>
      <c r="M336" s="200"/>
      <c r="N336" s="201"/>
      <c r="O336" s="658"/>
    </row>
    <row r="337" spans="2:15" x14ac:dyDescent="0.25">
      <c r="B337" s="198"/>
      <c r="C337" s="199"/>
      <c r="D337" s="199"/>
      <c r="E337" s="199"/>
      <c r="F337" s="199"/>
      <c r="G337" s="199"/>
      <c r="H337" s="199"/>
      <c r="I337" s="199"/>
      <c r="J337" s="200"/>
      <c r="K337" s="200"/>
      <c r="L337" s="200"/>
      <c r="M337" s="200"/>
      <c r="N337" s="201"/>
      <c r="O337" s="658"/>
    </row>
    <row r="338" spans="2:15" x14ac:dyDescent="0.25">
      <c r="B338" s="198"/>
      <c r="C338" s="199"/>
      <c r="D338" s="199"/>
      <c r="E338" s="199"/>
      <c r="F338" s="199"/>
      <c r="G338" s="199"/>
      <c r="H338" s="199"/>
      <c r="I338" s="199"/>
      <c r="J338" s="200"/>
      <c r="K338" s="200"/>
      <c r="L338" s="200"/>
      <c r="M338" s="200"/>
      <c r="N338" s="201"/>
      <c r="O338" s="658"/>
    </row>
    <row r="339" spans="2:15" x14ac:dyDescent="0.25">
      <c r="B339" s="198"/>
      <c r="C339" s="199"/>
      <c r="D339" s="199"/>
      <c r="E339" s="199"/>
      <c r="F339" s="199"/>
      <c r="G339" s="199"/>
      <c r="H339" s="199"/>
      <c r="I339" s="199"/>
      <c r="J339" s="200"/>
      <c r="K339" s="200"/>
      <c r="L339" s="200"/>
      <c r="M339" s="200"/>
      <c r="N339" s="201"/>
      <c r="O339" s="658"/>
    </row>
    <row r="340" spans="2:15" x14ac:dyDescent="0.25">
      <c r="B340" s="198"/>
      <c r="C340" s="199"/>
      <c r="D340" s="199"/>
      <c r="E340" s="199"/>
      <c r="F340" s="199"/>
      <c r="G340" s="199"/>
      <c r="H340" s="199"/>
      <c r="I340" s="199"/>
      <c r="J340" s="200"/>
      <c r="K340" s="200"/>
      <c r="L340" s="200"/>
      <c r="M340" s="200"/>
      <c r="N340" s="201"/>
      <c r="O340" s="658"/>
    </row>
    <row r="341" spans="2:15" x14ac:dyDescent="0.25">
      <c r="B341" s="198"/>
      <c r="C341" s="199"/>
      <c r="D341" s="199"/>
      <c r="E341" s="199"/>
      <c r="F341" s="199"/>
      <c r="G341" s="199"/>
      <c r="H341" s="199"/>
      <c r="I341" s="199"/>
      <c r="J341" s="200"/>
      <c r="K341" s="200"/>
      <c r="L341" s="200"/>
      <c r="M341" s="200"/>
      <c r="N341" s="201"/>
      <c r="O341" s="658"/>
    </row>
    <row r="342" spans="2:15" x14ac:dyDescent="0.25">
      <c r="B342" s="198"/>
      <c r="C342" s="199"/>
      <c r="D342" s="199"/>
      <c r="E342" s="199"/>
      <c r="F342" s="199"/>
      <c r="G342" s="199"/>
      <c r="H342" s="199"/>
      <c r="I342" s="199"/>
      <c r="J342" s="200"/>
      <c r="K342" s="200"/>
      <c r="L342" s="200"/>
      <c r="M342" s="200"/>
      <c r="N342" s="201"/>
      <c r="O342" s="658"/>
    </row>
    <row r="343" spans="2:15" x14ac:dyDescent="0.25">
      <c r="B343" s="198"/>
      <c r="C343" s="199"/>
      <c r="D343" s="199"/>
      <c r="E343" s="199"/>
      <c r="F343" s="199"/>
      <c r="G343" s="199"/>
      <c r="H343" s="199"/>
      <c r="I343" s="199"/>
      <c r="J343" s="200"/>
      <c r="K343" s="200"/>
      <c r="L343" s="200"/>
      <c r="M343" s="200"/>
      <c r="N343" s="201"/>
      <c r="O343" s="658"/>
    </row>
    <row r="344" spans="2:15" x14ac:dyDescent="0.25">
      <c r="B344" s="198"/>
      <c r="C344" s="199"/>
      <c r="D344" s="199"/>
      <c r="E344" s="199"/>
      <c r="F344" s="199"/>
      <c r="G344" s="199"/>
      <c r="H344" s="199"/>
      <c r="I344" s="199"/>
      <c r="J344" s="200"/>
      <c r="K344" s="200"/>
      <c r="L344" s="200"/>
      <c r="M344" s="200"/>
      <c r="N344" s="201"/>
      <c r="O344" s="658"/>
    </row>
    <row r="345" spans="2:15" x14ac:dyDescent="0.25">
      <c r="B345" s="198"/>
      <c r="C345" s="199"/>
      <c r="D345" s="199"/>
      <c r="E345" s="199"/>
      <c r="F345" s="199"/>
      <c r="G345" s="199"/>
      <c r="H345" s="199"/>
      <c r="I345" s="199"/>
      <c r="J345" s="200"/>
      <c r="K345" s="200"/>
      <c r="L345" s="200"/>
      <c r="M345" s="200"/>
      <c r="N345" s="201"/>
      <c r="O345" s="658"/>
    </row>
    <row r="346" spans="2:15" x14ac:dyDescent="0.25">
      <c r="B346" s="198"/>
      <c r="C346" s="199"/>
      <c r="D346" s="199"/>
      <c r="E346" s="199"/>
      <c r="F346" s="199"/>
      <c r="G346" s="199"/>
      <c r="H346" s="199"/>
      <c r="I346" s="199"/>
      <c r="J346" s="200"/>
      <c r="K346" s="200"/>
      <c r="L346" s="200"/>
      <c r="M346" s="200"/>
      <c r="N346" s="201"/>
      <c r="O346" s="658"/>
    </row>
    <row r="347" spans="2:15" x14ac:dyDescent="0.25">
      <c r="B347" s="198"/>
      <c r="C347" s="199"/>
      <c r="D347" s="199"/>
      <c r="E347" s="199"/>
      <c r="F347" s="199"/>
      <c r="G347" s="199"/>
      <c r="H347" s="199"/>
      <c r="I347" s="199"/>
      <c r="J347" s="200"/>
      <c r="K347" s="200"/>
      <c r="L347" s="200"/>
      <c r="M347" s="200"/>
      <c r="N347" s="201"/>
      <c r="O347" s="658"/>
    </row>
  </sheetData>
  <autoFilter ref="A1:O241"/>
  <mergeCells count="61">
    <mergeCell ref="S263:S264"/>
    <mergeCell ref="T263:T264"/>
    <mergeCell ref="U263:U264"/>
    <mergeCell ref="V263:V264"/>
    <mergeCell ref="W263:W264"/>
    <mergeCell ref="X263:X264"/>
    <mergeCell ref="X245:X246"/>
    <mergeCell ref="S245:S246"/>
    <mergeCell ref="T245:T246"/>
    <mergeCell ref="U245:U246"/>
    <mergeCell ref="V245:V246"/>
    <mergeCell ref="W245:W246"/>
    <mergeCell ref="X249:X250"/>
    <mergeCell ref="S247:S248"/>
    <mergeCell ref="T247:T248"/>
    <mergeCell ref="U247:U248"/>
    <mergeCell ref="V247:V248"/>
    <mergeCell ref="W247:W248"/>
    <mergeCell ref="X247:X248"/>
    <mergeCell ref="S249:S250"/>
    <mergeCell ref="T249:T250"/>
    <mergeCell ref="U249:U250"/>
    <mergeCell ref="V249:V250"/>
    <mergeCell ref="W249:W250"/>
    <mergeCell ref="X253:X254"/>
    <mergeCell ref="S251:S252"/>
    <mergeCell ref="T251:T252"/>
    <mergeCell ref="U251:U252"/>
    <mergeCell ref="V251:V252"/>
    <mergeCell ref="W251:W252"/>
    <mergeCell ref="X251:X252"/>
    <mergeCell ref="S253:S254"/>
    <mergeCell ref="T253:T254"/>
    <mergeCell ref="U253:U254"/>
    <mergeCell ref="V253:V254"/>
    <mergeCell ref="W253:W254"/>
    <mergeCell ref="V257:V258"/>
    <mergeCell ref="W257:W258"/>
    <mergeCell ref="X257:X258"/>
    <mergeCell ref="S255:S256"/>
    <mergeCell ref="T255:T256"/>
    <mergeCell ref="U255:U256"/>
    <mergeCell ref="V255:V256"/>
    <mergeCell ref="W255:W256"/>
    <mergeCell ref="X255:X256"/>
    <mergeCell ref="S243:X243"/>
    <mergeCell ref="S261:S262"/>
    <mergeCell ref="T261:T262"/>
    <mergeCell ref="U261:U262"/>
    <mergeCell ref="V261:V262"/>
    <mergeCell ref="W261:W262"/>
    <mergeCell ref="X261:X262"/>
    <mergeCell ref="S259:S260"/>
    <mergeCell ref="T259:T260"/>
    <mergeCell ref="U259:U260"/>
    <mergeCell ref="V259:V260"/>
    <mergeCell ref="W259:W260"/>
    <mergeCell ref="X259:X260"/>
    <mergeCell ref="S257:S258"/>
    <mergeCell ref="T257:T258"/>
    <mergeCell ref="U257:U258"/>
  </mergeCells>
  <phoneticPr fontId="0" type="noConversion"/>
  <conditionalFormatting sqref="B270:N279">
    <cfRule type="cellIs" dxfId="7" priority="9" operator="lessThan">
      <formula>0</formula>
    </cfRule>
    <cfRule type="cellIs" dxfId="6" priority="10" operator="lessThan">
      <formula>0</formula>
    </cfRule>
  </conditionalFormatting>
  <conditionalFormatting sqref="O270:O279">
    <cfRule type="cellIs" dxfId="5" priority="3" operator="lessThan">
      <formula>0</formula>
    </cfRule>
    <cfRule type="cellIs" dxfId="4" priority="4" operator="lessThan">
      <formula>0</formula>
    </cfRule>
  </conditionalFormatting>
  <conditionalFormatting sqref="C282:N283">
    <cfRule type="cellIs" dxfId="3" priority="5" operator="lessThan">
      <formula>0</formula>
    </cfRule>
    <cfRule type="cellIs" dxfId="2" priority="6" operator="lessThan">
      <formula>0</formula>
    </cfRule>
  </conditionalFormatting>
  <conditionalFormatting sqref="O282:O283">
    <cfRule type="cellIs" dxfId="1" priority="1" operator="lessThan">
      <formula>0</formula>
    </cfRule>
    <cfRule type="cellIs" dxfId="0" priority="2" operator="lessThan">
      <formula>0</formula>
    </cfRule>
  </conditionalFormatting>
  <hyperlinks>
    <hyperlink ref="A1" location="'Index &amp; Instructions'!A1" display="FY"/>
  </hyperlinks>
  <printOptions horizontalCentered="1"/>
  <pageMargins left="0.5" right="0.5" top="0.65" bottom="1" header="0.38" footer="0.5"/>
  <pageSetup scale="53" orientation="portrait" r:id="rId1"/>
  <headerFooter alignWithMargins="0">
    <oddHeader xml:space="preserve">&amp;C&amp;"MS Sans Serif,Bold"&amp;12ODF Timber Sale Volume and Value by District 
</oddHeader>
    <oddFooter>&amp;LOregon Department of Forestry
State Forests Program&amp;R&amp;F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workbookViewId="0"/>
  </sheetViews>
  <sheetFormatPr defaultColWidth="8.88671875" defaultRowHeight="13.8" x14ac:dyDescent="0.25"/>
  <cols>
    <col min="1" max="1" width="9.44140625" style="11" customWidth="1"/>
    <col min="2" max="2" width="15" style="9" bestFit="1" customWidth="1"/>
    <col min="3" max="3" width="16.33203125" style="9" bestFit="1" customWidth="1"/>
    <col min="4" max="4" width="1.6640625" style="9" customWidth="1"/>
    <col min="5" max="5" width="15.5546875" style="9" bestFit="1" customWidth="1"/>
    <col min="6" max="6" width="15.6640625" style="9" bestFit="1" customWidth="1"/>
    <col min="7" max="7" width="1.33203125" style="9" customWidth="1"/>
    <col min="8" max="8" width="15.5546875" style="9" bestFit="1" customWidth="1"/>
    <col min="9" max="9" width="15.6640625" style="9" bestFit="1" customWidth="1"/>
    <col min="10" max="10" width="8.88671875" style="9"/>
    <col min="11" max="11" width="18.5546875" style="9" customWidth="1"/>
    <col min="12" max="16384" width="8.88671875" style="9"/>
  </cols>
  <sheetData>
    <row r="1" spans="1:11" x14ac:dyDescent="0.25">
      <c r="A1" s="851" t="s">
        <v>7</v>
      </c>
      <c r="B1" s="875" t="s">
        <v>0</v>
      </c>
      <c r="C1" s="875"/>
      <c r="E1" s="873" t="s">
        <v>1</v>
      </c>
      <c r="F1" s="874"/>
      <c r="H1" s="877" t="s">
        <v>13</v>
      </c>
      <c r="I1" s="877"/>
      <c r="J1" s="878" t="s">
        <v>306</v>
      </c>
      <c r="K1" s="872" t="s">
        <v>474</v>
      </c>
    </row>
    <row r="2" spans="1:11" ht="14.4" thickBot="1" x14ac:dyDescent="0.3">
      <c r="A2" s="13" t="s">
        <v>6</v>
      </c>
      <c r="B2" s="54" t="s">
        <v>2</v>
      </c>
      <c r="C2" s="55" t="s">
        <v>3</v>
      </c>
      <c r="D2" s="56"/>
      <c r="E2" s="57" t="s">
        <v>4</v>
      </c>
      <c r="F2" s="58" t="s">
        <v>5</v>
      </c>
      <c r="G2" s="56"/>
      <c r="H2" s="57" t="s">
        <v>4</v>
      </c>
      <c r="I2" s="58" t="s">
        <v>5</v>
      </c>
      <c r="J2" s="878"/>
      <c r="K2" s="872"/>
    </row>
    <row r="3" spans="1:11" ht="19.5" hidden="1" customHeight="1" thickTop="1" x14ac:dyDescent="0.25">
      <c r="A3" s="15">
        <v>1984</v>
      </c>
      <c r="B3" s="16">
        <v>121184.45</v>
      </c>
      <c r="C3" s="17">
        <v>18034016.670000002</v>
      </c>
      <c r="D3" s="14"/>
      <c r="E3" s="16">
        <v>19620.88</v>
      </c>
      <c r="F3" s="17">
        <v>18034016.68</v>
      </c>
      <c r="G3" s="14"/>
      <c r="H3" s="59">
        <f>B3+E3</f>
        <v>140805.32999999999</v>
      </c>
      <c r="I3" s="60">
        <f>+C3+F3</f>
        <v>36068033.350000001</v>
      </c>
      <c r="J3" s="262"/>
    </row>
    <row r="4" spans="1:11" ht="19.5" hidden="1" customHeight="1" x14ac:dyDescent="0.25">
      <c r="A4" s="15">
        <v>1985</v>
      </c>
      <c r="B4" s="18">
        <v>172770.08</v>
      </c>
      <c r="C4" s="17">
        <v>20764703.640000001</v>
      </c>
      <c r="D4" s="19"/>
      <c r="E4" s="18">
        <v>95255.13</v>
      </c>
      <c r="F4" s="17">
        <v>14422690.51</v>
      </c>
      <c r="G4" s="14"/>
      <c r="H4" s="59">
        <f>B4+E4</f>
        <v>268025.20999999996</v>
      </c>
      <c r="I4" s="60">
        <f>C4+F4</f>
        <v>35187394.149999999</v>
      </c>
      <c r="J4" s="262"/>
    </row>
    <row r="5" spans="1:11" ht="19.5" hidden="1" customHeight="1" x14ac:dyDescent="0.25">
      <c r="A5" s="15">
        <v>1986</v>
      </c>
      <c r="B5" s="18">
        <v>138173.4</v>
      </c>
      <c r="C5" s="17">
        <v>18849071.59</v>
      </c>
      <c r="D5" s="19"/>
      <c r="E5" s="18">
        <v>83208.320000000007</v>
      </c>
      <c r="F5" s="17">
        <v>12439677.619999999</v>
      </c>
      <c r="G5" s="14"/>
      <c r="H5" s="59">
        <f t="shared" ref="H5:H31" si="0">B5+E5</f>
        <v>221381.72</v>
      </c>
      <c r="I5" s="60">
        <f t="shared" ref="I5:I31" si="1">C5+F5</f>
        <v>31288749.210000001</v>
      </c>
      <c r="J5" s="262"/>
    </row>
    <row r="6" spans="1:11" ht="19.5" hidden="1" customHeight="1" x14ac:dyDescent="0.25">
      <c r="A6" s="15">
        <v>1987</v>
      </c>
      <c r="B6" s="18">
        <v>128539.33</v>
      </c>
      <c r="C6" s="17">
        <v>17147108.34</v>
      </c>
      <c r="D6" s="19"/>
      <c r="E6" s="18">
        <v>67454.429999999993</v>
      </c>
      <c r="F6" s="17">
        <v>10117853.380000001</v>
      </c>
      <c r="G6" s="14"/>
      <c r="H6" s="59">
        <f t="shared" si="0"/>
        <v>195993.76</v>
      </c>
      <c r="I6" s="60">
        <f t="shared" si="1"/>
        <v>27264961.719999999</v>
      </c>
      <c r="J6" s="262"/>
    </row>
    <row r="7" spans="1:11" ht="19.5" hidden="1" customHeight="1" x14ac:dyDescent="0.25">
      <c r="A7" s="15">
        <v>1988</v>
      </c>
      <c r="B7" s="18">
        <v>168768.07</v>
      </c>
      <c r="C7" s="17">
        <v>28726826.190000001</v>
      </c>
      <c r="D7" s="19"/>
      <c r="E7" s="18">
        <v>61207.65</v>
      </c>
      <c r="F7" s="17">
        <v>11241264.6</v>
      </c>
      <c r="G7" s="14"/>
      <c r="H7" s="59">
        <f t="shared" si="0"/>
        <v>229975.72</v>
      </c>
      <c r="I7" s="60">
        <f t="shared" si="1"/>
        <v>39968090.789999999</v>
      </c>
      <c r="J7" s="262"/>
    </row>
    <row r="8" spans="1:11" ht="19.5" hidden="1" customHeight="1" x14ac:dyDescent="0.25">
      <c r="A8" s="15">
        <v>1989</v>
      </c>
      <c r="B8" s="18">
        <v>121815.53</v>
      </c>
      <c r="C8" s="17">
        <v>26446272.960000001</v>
      </c>
      <c r="D8" s="19"/>
      <c r="E8" s="18">
        <v>60452.58</v>
      </c>
      <c r="F8" s="17">
        <v>14290871.380000001</v>
      </c>
      <c r="G8" s="14"/>
      <c r="H8" s="59">
        <f t="shared" si="0"/>
        <v>182268.11</v>
      </c>
      <c r="I8" s="60">
        <f t="shared" si="1"/>
        <v>40737144.340000004</v>
      </c>
      <c r="J8" s="262"/>
    </row>
    <row r="9" spans="1:11" ht="19.5" hidden="1" customHeight="1" x14ac:dyDescent="0.25">
      <c r="A9" s="15">
        <v>1990</v>
      </c>
      <c r="B9" s="18">
        <v>80277.27</v>
      </c>
      <c r="C9" s="17">
        <v>22585363.960000001</v>
      </c>
      <c r="D9" s="19"/>
      <c r="E9" s="18">
        <v>54913.86</v>
      </c>
      <c r="F9" s="17">
        <v>17565813.289999999</v>
      </c>
      <c r="G9" s="14"/>
      <c r="H9" s="59">
        <f t="shared" si="0"/>
        <v>135191.13</v>
      </c>
      <c r="I9" s="60">
        <f t="shared" si="1"/>
        <v>40151177.25</v>
      </c>
      <c r="J9" s="262"/>
    </row>
    <row r="10" spans="1:11" ht="19.5" hidden="1" customHeight="1" x14ac:dyDescent="0.25">
      <c r="A10" s="15">
        <v>1991</v>
      </c>
      <c r="B10" s="18">
        <v>69725.17</v>
      </c>
      <c r="C10" s="17">
        <v>18145639.170000002</v>
      </c>
      <c r="D10" s="19"/>
      <c r="E10" s="18">
        <v>20967.75</v>
      </c>
      <c r="F10" s="17">
        <v>7354879.3200000003</v>
      </c>
      <c r="G10" s="14"/>
      <c r="H10" s="59">
        <f t="shared" si="0"/>
        <v>90692.92</v>
      </c>
      <c r="I10" s="60">
        <f t="shared" si="1"/>
        <v>25500518.490000002</v>
      </c>
      <c r="J10" s="262"/>
    </row>
    <row r="11" spans="1:11" ht="19.5" hidden="1" customHeight="1" x14ac:dyDescent="0.25">
      <c r="A11" s="15">
        <v>1992</v>
      </c>
      <c r="B11" s="18">
        <v>97892.72</v>
      </c>
      <c r="C11" s="17">
        <v>33059251.640000001</v>
      </c>
      <c r="D11" s="19"/>
      <c r="E11" s="18">
        <v>37302.74</v>
      </c>
      <c r="F11" s="17">
        <v>14243116.4</v>
      </c>
      <c r="G11" s="14"/>
      <c r="H11" s="59">
        <f t="shared" si="0"/>
        <v>135195.46</v>
      </c>
      <c r="I11" s="60">
        <f t="shared" si="1"/>
        <v>47302368.039999999</v>
      </c>
      <c r="J11" s="262"/>
    </row>
    <row r="12" spans="1:11" s="10" customFormat="1" ht="19.5" customHeight="1" thickTop="1" x14ac:dyDescent="0.25">
      <c r="A12" s="20">
        <v>1993</v>
      </c>
      <c r="B12" s="18">
        <f>+'TAB1.0 Accomplshmnt by District'!E11</f>
        <v>73204.600000000006</v>
      </c>
      <c r="C12" s="17">
        <f>+'TAB1.0 Accomplshmnt by District'!J11</f>
        <v>25537669.559999999</v>
      </c>
      <c r="D12" s="21"/>
      <c r="E12" s="18">
        <f>+'TAB1.0 Accomplshmnt by District'!G11</f>
        <v>23489.15</v>
      </c>
      <c r="F12" s="17">
        <f>+'TAB1.0 Accomplshmnt by District'!L11</f>
        <v>9284082.5899999999</v>
      </c>
      <c r="G12" s="21"/>
      <c r="H12" s="61">
        <f t="shared" si="0"/>
        <v>96693.75</v>
      </c>
      <c r="I12" s="62">
        <f t="shared" si="1"/>
        <v>34821752.149999999</v>
      </c>
      <c r="J12" s="263">
        <f>+'TAB3.0 VOL Historical by County'!AY1-H12</f>
        <v>17029.25</v>
      </c>
      <c r="K12" s="88"/>
    </row>
    <row r="13" spans="1:11" ht="19.5" customHeight="1" x14ac:dyDescent="0.25">
      <c r="A13" s="22">
        <v>1994</v>
      </c>
      <c r="B13" s="16">
        <f>+'TAB1.0 Accomplshmnt by District'!E21</f>
        <v>86879.43</v>
      </c>
      <c r="C13" s="23">
        <f>+'TAB1.0 Accomplshmnt by District'!J21</f>
        <v>31846539.010000002</v>
      </c>
      <c r="D13" s="14"/>
      <c r="E13" s="16">
        <f>+'TAB1.0 Accomplshmnt by District'!G21</f>
        <v>27270.240000000002</v>
      </c>
      <c r="F13" s="23">
        <f>+'TAB1.0 Accomplshmnt by District'!L21</f>
        <v>12140743.26</v>
      </c>
      <c r="G13" s="14"/>
      <c r="H13" s="59">
        <f t="shared" si="0"/>
        <v>114149.67</v>
      </c>
      <c r="I13" s="60">
        <f t="shared" si="1"/>
        <v>43987282.270000003</v>
      </c>
      <c r="J13" s="264">
        <f>+'TAB3.0 VOL Historical by County'!AZ1-H13</f>
        <v>0.88999999999941792</v>
      </c>
      <c r="K13" s="89"/>
    </row>
    <row r="14" spans="1:11" ht="19.5" customHeight="1" x14ac:dyDescent="0.25">
      <c r="A14" s="22">
        <v>1995</v>
      </c>
      <c r="B14" s="16">
        <f>+'TAB1.0 Accomplshmnt by District'!E31</f>
        <v>94089.19</v>
      </c>
      <c r="C14" s="23">
        <f>+'TAB1.0 Accomplshmnt by District'!J31</f>
        <v>47328190.149999999</v>
      </c>
      <c r="D14" s="14"/>
      <c r="E14" s="16">
        <f>+'TAB1.0 Accomplshmnt by District'!G31</f>
        <v>22247.050000000003</v>
      </c>
      <c r="F14" s="23">
        <f>+'TAB1.0 Accomplshmnt by District'!L31</f>
        <v>12056945.550000001</v>
      </c>
      <c r="G14" s="14"/>
      <c r="H14" s="59">
        <f t="shared" si="0"/>
        <v>116336.24</v>
      </c>
      <c r="I14" s="60">
        <f t="shared" si="1"/>
        <v>59385135.700000003</v>
      </c>
      <c r="J14" s="264">
        <f>+'TAB3.0 VOL Historical by County'!BA1-H14</f>
        <v>-2.2400000000052387</v>
      </c>
      <c r="K14" s="89"/>
    </row>
    <row r="15" spans="1:11" ht="19.5" customHeight="1" x14ac:dyDescent="0.25">
      <c r="A15" s="22">
        <v>1996</v>
      </c>
      <c r="B15" s="16">
        <f>+'TAB1.0 Accomplshmnt by District'!E41</f>
        <v>90813.68</v>
      </c>
      <c r="C15" s="23">
        <f>+'TAB1.0 Accomplshmnt by District'!J41</f>
        <v>46860690.660000004</v>
      </c>
      <c r="D15" s="14"/>
      <c r="E15" s="16">
        <f>+'TAB1.0 Accomplshmnt by District'!G41</f>
        <v>19224.809999999998</v>
      </c>
      <c r="F15" s="23">
        <f>+'TAB1.0 Accomplshmnt by District'!L41</f>
        <v>15528801.640000001</v>
      </c>
      <c r="G15" s="14"/>
      <c r="H15" s="59">
        <f t="shared" si="0"/>
        <v>110038.48999999999</v>
      </c>
      <c r="I15" s="60">
        <f t="shared" si="1"/>
        <v>62389492.300000004</v>
      </c>
      <c r="J15" s="264">
        <f>+'TAB3.0 VOL Historical by County'!BB1-H15</f>
        <v>-0.48999999999068677</v>
      </c>
      <c r="K15" s="89"/>
    </row>
    <row r="16" spans="1:11" ht="19.5" customHeight="1" x14ac:dyDescent="0.25">
      <c r="A16" s="22">
        <v>1997</v>
      </c>
      <c r="B16" s="16">
        <f>+'TAB1.0 Accomplshmnt by District'!E51</f>
        <v>137815.36000000002</v>
      </c>
      <c r="C16" s="23">
        <f>+'TAB1.0 Accomplshmnt by District'!J51</f>
        <v>66121442.609999992</v>
      </c>
      <c r="D16" s="14"/>
      <c r="E16" s="16">
        <f>+'TAB1.0 Accomplshmnt by District'!G51</f>
        <v>24976.219999999998</v>
      </c>
      <c r="F16" s="23">
        <f>+'TAB1.0 Accomplshmnt by District'!L51</f>
        <v>16186164.199999999</v>
      </c>
      <c r="G16" s="14"/>
      <c r="H16" s="59">
        <f t="shared" si="0"/>
        <v>162791.58000000002</v>
      </c>
      <c r="I16" s="60">
        <f t="shared" si="1"/>
        <v>82307606.809999987</v>
      </c>
      <c r="J16" s="264">
        <f>+'TAB3.0 VOL Historical by County'!BC1-H16</f>
        <v>1411.5499999999593</v>
      </c>
      <c r="K16" s="89"/>
    </row>
    <row r="17" spans="1:11" ht="19.5" customHeight="1" x14ac:dyDescent="0.25">
      <c r="A17" s="22">
        <v>1998</v>
      </c>
      <c r="B17" s="16">
        <f>+'TAB1.0 Accomplshmnt by District'!E61</f>
        <v>105413.66000000002</v>
      </c>
      <c r="C17" s="23">
        <f>+'TAB1.0 Accomplshmnt by District'!J61</f>
        <v>45038652.609999999</v>
      </c>
      <c r="D17" s="14"/>
      <c r="E17" s="16">
        <f>+'TAB1.0 Accomplshmnt by District'!G61</f>
        <v>22055.360000000001</v>
      </c>
      <c r="F17" s="23">
        <f>+'TAB1.0 Accomplshmnt by District'!L61</f>
        <v>13658303.100000001</v>
      </c>
      <c r="G17" s="14"/>
      <c r="H17" s="59">
        <f t="shared" si="0"/>
        <v>127469.02000000002</v>
      </c>
      <c r="I17" s="60">
        <f t="shared" si="1"/>
        <v>58696955.710000001</v>
      </c>
      <c r="J17" s="264">
        <f>+'TAB3.0 VOL Historical by County'!BD1-H17</f>
        <v>940.88999999998487</v>
      </c>
      <c r="K17" s="89"/>
    </row>
    <row r="18" spans="1:11" ht="19.5" customHeight="1" x14ac:dyDescent="0.25">
      <c r="A18" s="22">
        <v>1999</v>
      </c>
      <c r="B18" s="16">
        <f>+'TAB1.0 Accomplshmnt by District'!E71</f>
        <v>170075.56</v>
      </c>
      <c r="C18" s="23">
        <f>+'TAB1.0 Accomplshmnt by District'!J71</f>
        <v>62759066.349999994</v>
      </c>
      <c r="D18" s="14"/>
      <c r="E18" s="16">
        <f>+'TAB1.0 Accomplshmnt by District'!G71</f>
        <v>38018.959999999999</v>
      </c>
      <c r="F18" s="23">
        <f>+'TAB1.0 Accomplshmnt by District'!L71</f>
        <v>20089446.690000001</v>
      </c>
      <c r="G18" s="14"/>
      <c r="H18" s="59">
        <f t="shared" si="0"/>
        <v>208094.52</v>
      </c>
      <c r="I18" s="60">
        <f t="shared" si="1"/>
        <v>82848513.039999992</v>
      </c>
      <c r="J18" s="264">
        <f>+'TAB3.0 VOL Historical by County'!BE1-H18</f>
        <v>-202.60000000000582</v>
      </c>
      <c r="K18" s="89"/>
    </row>
    <row r="19" spans="1:11" ht="19.5" customHeight="1" x14ac:dyDescent="0.25">
      <c r="A19" s="22">
        <v>2000</v>
      </c>
      <c r="B19" s="16">
        <f>+'TAB1.0 Accomplshmnt by District'!E81</f>
        <v>215074.47</v>
      </c>
      <c r="C19" s="23">
        <f>+'TAB1.0 Accomplshmnt by District'!J81</f>
        <v>74971314.470000014</v>
      </c>
      <c r="D19" s="14"/>
      <c r="E19" s="16">
        <f>+'TAB1.0 Accomplshmnt by District'!G81</f>
        <v>49714.710000000006</v>
      </c>
      <c r="F19" s="23">
        <f>+'TAB1.0 Accomplshmnt by District'!L81</f>
        <v>24398920.939999998</v>
      </c>
      <c r="G19" s="14"/>
      <c r="H19" s="59">
        <f t="shared" si="0"/>
        <v>264789.18</v>
      </c>
      <c r="I19" s="60">
        <f t="shared" si="1"/>
        <v>99370235.410000011</v>
      </c>
      <c r="J19" s="264">
        <f>+'TAB3.0 VOL Historical by County'!BF1-H19</f>
        <v>-909.72000000003027</v>
      </c>
      <c r="K19" s="89"/>
    </row>
    <row r="20" spans="1:11" ht="19.5" customHeight="1" x14ac:dyDescent="0.25">
      <c r="A20" s="22">
        <v>2001</v>
      </c>
      <c r="B20" s="16">
        <f>+'TAB1.0 Accomplshmnt by District'!E91</f>
        <v>193068.64</v>
      </c>
      <c r="C20" s="23">
        <f>+'TAB1.0 Accomplshmnt by District'!J91</f>
        <v>65489876.450000003</v>
      </c>
      <c r="D20" s="14"/>
      <c r="E20" s="16">
        <f>+'TAB1.0 Accomplshmnt by District'!G91</f>
        <v>35626.620000000003</v>
      </c>
      <c r="F20" s="23">
        <f>+'TAB1.0 Accomplshmnt by District'!L91</f>
        <v>18837865.210000001</v>
      </c>
      <c r="G20" s="14"/>
      <c r="H20" s="59">
        <f t="shared" si="0"/>
        <v>228695.26</v>
      </c>
      <c r="I20" s="60">
        <f t="shared" si="1"/>
        <v>84327741.659999996</v>
      </c>
      <c r="J20" s="264">
        <f>+'TAB3.0 VOL Historical by County'!BG1-H20</f>
        <v>0.3000000000174623</v>
      </c>
      <c r="K20" s="89"/>
    </row>
    <row r="21" spans="1:11" ht="19.5" customHeight="1" x14ac:dyDescent="0.25">
      <c r="A21" s="20">
        <v>2002</v>
      </c>
      <c r="B21" s="18">
        <f>+'TAB1.0 Accomplshmnt by District'!E101</f>
        <v>228326.62999999998</v>
      </c>
      <c r="C21" s="17">
        <f>+'TAB1.0 Accomplshmnt by District'!J101</f>
        <v>79544455.349999979</v>
      </c>
      <c r="D21" s="14"/>
      <c r="E21" s="18">
        <f>+'TAB1.0 Accomplshmnt by District'!G101</f>
        <v>29556.769999999997</v>
      </c>
      <c r="F21" s="17">
        <f>+'TAB1.0 Accomplshmnt by District'!L101</f>
        <v>14043117.18</v>
      </c>
      <c r="G21" s="14"/>
      <c r="H21" s="59">
        <f t="shared" si="0"/>
        <v>257883.39999999997</v>
      </c>
      <c r="I21" s="60">
        <f t="shared" si="1"/>
        <v>93587572.529999971</v>
      </c>
      <c r="J21" s="264">
        <f>+'TAB3.0 VOL Historical by County'!BH1-H21</f>
        <v>-1.3999999999650754</v>
      </c>
      <c r="K21" s="89"/>
    </row>
    <row r="22" spans="1:11" ht="19.5" customHeight="1" x14ac:dyDescent="0.25">
      <c r="A22" s="22">
        <v>2003</v>
      </c>
      <c r="B22" s="18">
        <f>+'TAB1.0 Accomplshmnt by District'!E111</f>
        <v>253532.05</v>
      </c>
      <c r="C22" s="17">
        <f>+'TAB1.0 Accomplshmnt by District'!J111</f>
        <v>86875184.690000013</v>
      </c>
      <c r="D22" s="14"/>
      <c r="E22" s="18">
        <f>+'TAB1.0 Accomplshmnt by District'!G111</f>
        <v>24290.15</v>
      </c>
      <c r="F22" s="17">
        <f>+'TAB1.0 Accomplshmnt by District'!L111</f>
        <v>10988958.43</v>
      </c>
      <c r="G22" s="14"/>
      <c r="H22" s="59">
        <f t="shared" si="0"/>
        <v>277822.2</v>
      </c>
      <c r="I22" s="60">
        <f t="shared" si="1"/>
        <v>97864143.120000005</v>
      </c>
      <c r="J22" s="264">
        <f>+'TAB3.0 VOL Historical by County'!BI1-H22</f>
        <v>-3.0000000086147338E-2</v>
      </c>
      <c r="K22" s="89"/>
    </row>
    <row r="23" spans="1:11" ht="19.5" customHeight="1" x14ac:dyDescent="0.25">
      <c r="A23" s="22">
        <v>2004</v>
      </c>
      <c r="B23" s="18">
        <f>+'TAB1.0 Accomplshmnt by District'!E121</f>
        <v>239385.74000000002</v>
      </c>
      <c r="C23" s="17">
        <f>+'TAB1.0 Accomplshmnt by District'!J121</f>
        <v>81104303.530000001</v>
      </c>
      <c r="D23" s="14"/>
      <c r="E23" s="18">
        <f>+'TAB1.0 Accomplshmnt by District'!G121</f>
        <v>32423.25</v>
      </c>
      <c r="F23" s="17">
        <f>+'TAB1.0 Accomplshmnt by District'!L121</f>
        <v>14216418.360000001</v>
      </c>
      <c r="G23" s="14"/>
      <c r="H23" s="59">
        <f t="shared" si="0"/>
        <v>271808.99</v>
      </c>
      <c r="I23" s="60">
        <f t="shared" si="1"/>
        <v>95320721.890000001</v>
      </c>
      <c r="J23" s="264">
        <f>+'TAB3.0 VOL Historical by County'!BJ1-H23</f>
        <v>0.20000000001164153</v>
      </c>
      <c r="K23" s="89"/>
    </row>
    <row r="24" spans="1:11" ht="19.5" customHeight="1" x14ac:dyDescent="0.25">
      <c r="A24" s="22">
        <v>2005</v>
      </c>
      <c r="B24" s="18">
        <f>+'TAB1.0 Accomplshmnt by District'!E131</f>
        <v>281604.98</v>
      </c>
      <c r="C24" s="17">
        <f>+'TAB1.0 Accomplshmnt by District'!J131</f>
        <v>89542266.030000001</v>
      </c>
      <c r="D24" s="14"/>
      <c r="E24" s="18">
        <f>+'TAB1.0 Accomplshmnt by District'!G131</f>
        <v>42106.38</v>
      </c>
      <c r="F24" s="17">
        <f>+'TAB1.0 Accomplshmnt by District'!L131</f>
        <v>20080172.379999999</v>
      </c>
      <c r="G24" s="14"/>
      <c r="H24" s="59">
        <f t="shared" si="0"/>
        <v>323711.35999999999</v>
      </c>
      <c r="I24" s="60">
        <f t="shared" si="1"/>
        <v>109622438.41</v>
      </c>
      <c r="J24" s="264">
        <f>+'TAB3.0 VOL Historical by County'!BK1-H24</f>
        <v>50</v>
      </c>
      <c r="K24" s="89"/>
    </row>
    <row r="25" spans="1:11" ht="19.5" customHeight="1" x14ac:dyDescent="0.25">
      <c r="A25" s="22">
        <v>2006</v>
      </c>
      <c r="B25" s="18">
        <f>+'TAB1.0 Accomplshmnt by District'!E141</f>
        <v>276908.34000000003</v>
      </c>
      <c r="C25" s="23">
        <f>+'TAB1.0 Accomplshmnt by District'!J141</f>
        <v>103150843.27000001</v>
      </c>
      <c r="D25" s="14"/>
      <c r="E25" s="18">
        <f>+'TAB1.0 Accomplshmnt by District'!G141</f>
        <v>17832.86</v>
      </c>
      <c r="F25" s="23">
        <f>+'TAB1.0 Accomplshmnt by District'!L141</f>
        <v>7609657.7299999995</v>
      </c>
      <c r="G25" s="14"/>
      <c r="H25" s="59">
        <f t="shared" si="0"/>
        <v>294741.2</v>
      </c>
      <c r="I25" s="60">
        <f t="shared" si="1"/>
        <v>110760501.00000001</v>
      </c>
      <c r="J25" s="264">
        <f>+'TAB3.0 VOL Historical by County'!BL1-H25</f>
        <v>1.9999999960418791E-2</v>
      </c>
      <c r="K25" s="89"/>
    </row>
    <row r="26" spans="1:11" ht="19.5" customHeight="1" x14ac:dyDescent="0.25">
      <c r="A26" s="22">
        <v>2007</v>
      </c>
      <c r="B26" s="18">
        <f>+'TAB1.0 Accomplshmnt by District'!E151</f>
        <v>244397.83</v>
      </c>
      <c r="C26" s="23">
        <f>+'TAB1.0 Accomplshmnt by District'!J151</f>
        <v>98287294.349999994</v>
      </c>
      <c r="D26" s="14"/>
      <c r="E26" s="18">
        <f>+'TAB1.0 Accomplshmnt by District'!G151</f>
        <v>27083.600000000002</v>
      </c>
      <c r="F26" s="23">
        <f>+'TAB1.0 Accomplshmnt by District'!L151</f>
        <v>12760991.550000001</v>
      </c>
      <c r="G26" s="24"/>
      <c r="H26" s="59">
        <f t="shared" si="0"/>
        <v>271481.43</v>
      </c>
      <c r="I26" s="60">
        <f t="shared" si="1"/>
        <v>111048285.89999999</v>
      </c>
      <c r="J26" s="264">
        <f>+'TAB3.0 VOL Historical by County'!BM1-H26</f>
        <v>0.35300000000279397</v>
      </c>
      <c r="K26" s="89"/>
    </row>
    <row r="27" spans="1:11" ht="19.5" customHeight="1" x14ac:dyDescent="0.25">
      <c r="A27" s="25">
        <v>2008</v>
      </c>
      <c r="B27" s="26">
        <f>+'TAB1.0 Accomplshmnt by District'!E161</f>
        <v>236578.22999999998</v>
      </c>
      <c r="C27" s="27">
        <f>+'TAB1.0 Accomplshmnt by District'!J161</f>
        <v>84621195.149999991</v>
      </c>
      <c r="D27" s="14"/>
      <c r="E27" s="26">
        <f>+'TAB1.0 Accomplshmnt by District'!G161</f>
        <v>22974.03</v>
      </c>
      <c r="F27" s="27">
        <f>+'TAB1.0 Accomplshmnt by District'!L161</f>
        <v>11988895.34</v>
      </c>
      <c r="G27" s="24"/>
      <c r="H27" s="63">
        <f t="shared" si="0"/>
        <v>259552.25999999998</v>
      </c>
      <c r="I27" s="64">
        <f t="shared" si="1"/>
        <v>96610090.489999995</v>
      </c>
      <c r="J27" s="264">
        <f>+'TAB3.0 VOL Historical by County'!BN1-H27</f>
        <v>0</v>
      </c>
      <c r="K27" s="89"/>
    </row>
    <row r="28" spans="1:11" ht="19.5" customHeight="1" x14ac:dyDescent="0.25">
      <c r="A28" s="25">
        <v>2009</v>
      </c>
      <c r="B28" s="26">
        <f>+'TAB1.0 Accomplshmnt by District'!E171</f>
        <v>236913.74000000002</v>
      </c>
      <c r="C28" s="27">
        <f>+'TAB1.0 Accomplshmnt by District'!J171</f>
        <v>67642199.040000007</v>
      </c>
      <c r="D28" s="14"/>
      <c r="E28" s="26">
        <f>+'TAB1.0 Accomplshmnt by District'!G171</f>
        <v>29287.61</v>
      </c>
      <c r="F28" s="27">
        <f>+'TAB1.0 Accomplshmnt by District'!L171</f>
        <v>12419783.800000001</v>
      </c>
      <c r="G28" s="24"/>
      <c r="H28" s="63">
        <f t="shared" si="0"/>
        <v>266201.35000000003</v>
      </c>
      <c r="I28" s="64">
        <f t="shared" si="1"/>
        <v>80061982.840000004</v>
      </c>
      <c r="J28" s="264">
        <f>+'TAB3.0 VOL Historical by County'!BO1-H28</f>
        <v>-3.3500000000349246</v>
      </c>
      <c r="K28" s="89"/>
    </row>
    <row r="29" spans="1:11" ht="19.5" customHeight="1" x14ac:dyDescent="0.25">
      <c r="A29" s="25">
        <v>2010</v>
      </c>
      <c r="B29" s="26">
        <f>+'TAB1.0 Accomplshmnt by District'!E181</f>
        <v>268142.3</v>
      </c>
      <c r="C29" s="27">
        <f>+'TAB1.0 Accomplshmnt by District'!J181</f>
        <v>62821429.510000005</v>
      </c>
      <c r="D29" s="14"/>
      <c r="E29" s="26">
        <f>+'TAB1.0 Accomplshmnt by District'!G181</f>
        <v>24811.51</v>
      </c>
      <c r="F29" s="27">
        <f>+'TAB1.0 Accomplshmnt by District'!L181</f>
        <v>8221997.7800000003</v>
      </c>
      <c r="G29" s="24"/>
      <c r="H29" s="63">
        <f t="shared" si="0"/>
        <v>292953.81</v>
      </c>
      <c r="I29" s="64">
        <f t="shared" si="1"/>
        <v>71043427.290000007</v>
      </c>
      <c r="J29" s="264">
        <f>+'TAB3.0 VOL Historical by County'!BP1-H29</f>
        <v>0</v>
      </c>
      <c r="K29" s="89"/>
    </row>
    <row r="30" spans="1:11" ht="19.5" customHeight="1" x14ac:dyDescent="0.25">
      <c r="A30" s="25">
        <v>2011</v>
      </c>
      <c r="B30" s="26">
        <f>+'TAB1.0 Accomplshmnt by District'!E191</f>
        <v>239559.56</v>
      </c>
      <c r="C30" s="27">
        <f>+'TAB1.0 Accomplshmnt by District'!J191</f>
        <v>68027271.930000007</v>
      </c>
      <c r="D30" s="14"/>
      <c r="E30" s="26">
        <f>+'TAB1.0 Accomplshmnt by District'!G191</f>
        <v>32115.85</v>
      </c>
      <c r="F30" s="27">
        <f>+'TAB1.0 Accomplshmnt by District'!L191</f>
        <v>11569904.029999999</v>
      </c>
      <c r="G30" s="24"/>
      <c r="H30" s="63">
        <f t="shared" si="0"/>
        <v>271675.40999999997</v>
      </c>
      <c r="I30" s="64">
        <f t="shared" si="1"/>
        <v>79597175.960000008</v>
      </c>
      <c r="J30" s="264">
        <f>+'TAB3.0 VOL Historical by County'!BQ1-H30</f>
        <v>-1.4099999999743886</v>
      </c>
      <c r="K30" s="89"/>
    </row>
    <row r="31" spans="1:11" ht="19.5" customHeight="1" x14ac:dyDescent="0.25">
      <c r="A31" s="25">
        <v>2012</v>
      </c>
      <c r="B31" s="26">
        <f>+'TAB1.0 Accomplshmnt by District'!E201</f>
        <v>230691.46999999997</v>
      </c>
      <c r="C31" s="27">
        <f>+'TAB1.0 Accomplshmnt by District'!J201</f>
        <v>71311312.930000022</v>
      </c>
      <c r="D31" s="14"/>
      <c r="E31" s="26">
        <f>+'TAB1.0 Accomplshmnt by District'!G201</f>
        <v>32249.97</v>
      </c>
      <c r="F31" s="27">
        <f>+'TAB1.0 Accomplshmnt by District'!L201</f>
        <v>12004480.739999998</v>
      </c>
      <c r="G31" s="24"/>
      <c r="H31" s="63">
        <f t="shared" si="0"/>
        <v>262941.43999999994</v>
      </c>
      <c r="I31" s="64">
        <f t="shared" si="1"/>
        <v>83315793.670000017</v>
      </c>
      <c r="J31" s="264">
        <f>+'TAB3.0 VOL Historical by County'!BR1-H31</f>
        <v>1.0000000067520887E-2</v>
      </c>
      <c r="K31" s="89"/>
    </row>
    <row r="32" spans="1:11" ht="19.5" customHeight="1" x14ac:dyDescent="0.25">
      <c r="A32" s="25">
        <v>2013</v>
      </c>
      <c r="B32" s="26">
        <f>+'TAB1.0 Accomplshmnt by District'!E211</f>
        <v>229487.77</v>
      </c>
      <c r="C32" s="27">
        <f>+'TAB1.0 Accomplshmnt by District'!J211</f>
        <v>79266394.86999999</v>
      </c>
      <c r="D32" s="14"/>
      <c r="E32" s="26">
        <f>+'TAB1.0 Accomplshmnt by District'!G211</f>
        <v>11076.240000000002</v>
      </c>
      <c r="F32" s="27">
        <f>+'TAB1.0 Accomplshmnt by District'!L211</f>
        <v>3599029.7800000003</v>
      </c>
      <c r="G32" s="24"/>
      <c r="H32" s="63">
        <f t="shared" ref="H32:I34" si="2">B32+E32</f>
        <v>240564.00999999998</v>
      </c>
      <c r="I32" s="64">
        <f t="shared" si="2"/>
        <v>82865424.649999991</v>
      </c>
      <c r="J32" s="264">
        <f>+'TAB3.0 VOL Historical by County'!BS1-H32</f>
        <v>0</v>
      </c>
      <c r="K32" s="89"/>
    </row>
    <row r="33" spans="1:11" ht="19.5" customHeight="1" x14ac:dyDescent="0.25">
      <c r="A33" s="25">
        <v>2014</v>
      </c>
      <c r="B33" s="26">
        <f>+'TAB1.0 Accomplshmnt by District'!E221</f>
        <v>220858.9</v>
      </c>
      <c r="C33" s="27">
        <f>+'TAB1.0 Accomplshmnt by District'!J221</f>
        <v>81170164.050000012</v>
      </c>
      <c r="D33" s="14"/>
      <c r="E33" s="26">
        <f>+'TAB1.0 Accomplshmnt by District'!G221</f>
        <v>10963.22</v>
      </c>
      <c r="F33" s="27">
        <f>+'TAB1.0 Accomplshmnt by District'!L221</f>
        <v>4028153.6100000003</v>
      </c>
      <c r="G33" s="24"/>
      <c r="H33" s="63">
        <f t="shared" si="2"/>
        <v>231822.12</v>
      </c>
      <c r="I33" s="64">
        <f t="shared" si="2"/>
        <v>85198317.660000011</v>
      </c>
      <c r="J33" s="264">
        <f>+'TAB3.0 VOL Historical by County'!BT1-H33</f>
        <v>0</v>
      </c>
      <c r="K33" s="89"/>
    </row>
    <row r="34" spans="1:11" ht="19.5" customHeight="1" thickBot="1" x14ac:dyDescent="0.3">
      <c r="A34" s="25">
        <v>2015</v>
      </c>
      <c r="B34" s="26">
        <f>+'TAB1.0 Accomplshmnt by District'!E231</f>
        <v>258901.53</v>
      </c>
      <c r="C34" s="27">
        <f>+'TAB1.0 Accomplshmnt by District'!J231</f>
        <v>97571092</v>
      </c>
      <c r="D34" s="14"/>
      <c r="E34" s="26">
        <f>+'TAB1.0 Accomplshmnt by District'!G231</f>
        <v>15273</v>
      </c>
      <c r="F34" s="27">
        <f>+'TAB1.0 Accomplshmnt by District'!L231</f>
        <v>5960575</v>
      </c>
      <c r="G34" s="24"/>
      <c r="H34" s="63">
        <f t="shared" si="2"/>
        <v>274174.53000000003</v>
      </c>
      <c r="I34" s="64">
        <f t="shared" si="2"/>
        <v>103531667</v>
      </c>
      <c r="J34" s="264">
        <f>+'TAB3.0 VOL Historical by County'!BU1-H34</f>
        <v>2.9999999969732016E-2</v>
      </c>
      <c r="K34" s="690" t="s">
        <v>475</v>
      </c>
    </row>
    <row r="35" spans="1:11" ht="19.5" customHeight="1" thickTop="1" x14ac:dyDescent="0.25">
      <c r="A35" s="74" t="s">
        <v>8</v>
      </c>
      <c r="B35" s="75">
        <f>AVERAGE(B30:B34)</f>
        <v>235899.84599999999</v>
      </c>
      <c r="C35" s="76">
        <f>AVERAGE(C30:C34)</f>
        <v>79469247.156000003</v>
      </c>
      <c r="D35" s="28"/>
      <c r="E35" s="80">
        <f>AVERAGE(E30:E34)</f>
        <v>20335.655999999999</v>
      </c>
      <c r="F35" s="81">
        <f>AVERAGE(F30:F34)</f>
        <v>7432428.6319999993</v>
      </c>
      <c r="G35" s="29"/>
      <c r="H35" s="84">
        <f>AVERAGE(H30:H34)</f>
        <v>256235.50199999995</v>
      </c>
      <c r="I35" s="85">
        <f>AVERAGE(I30:I34)</f>
        <v>86901675.788000017</v>
      </c>
    </row>
    <row r="36" spans="1:11" ht="19.5" customHeight="1" x14ac:dyDescent="0.25">
      <c r="A36" s="77" t="s">
        <v>9</v>
      </c>
      <c r="B36" s="78">
        <f>AVERAGE(B25:B34)</f>
        <v>244243.967</v>
      </c>
      <c r="C36" s="79">
        <f>AVERAGE(C25:C34)</f>
        <v>81386919.710000008</v>
      </c>
      <c r="D36" s="28"/>
      <c r="E36" s="82">
        <f>AVERAGE(E25:E34)</f>
        <v>22366.788999999997</v>
      </c>
      <c r="F36" s="83">
        <f>AVERAGE(F25:F34)</f>
        <v>9016346.9360000007</v>
      </c>
      <c r="G36" s="14"/>
      <c r="H36" s="86">
        <f>AVERAGE(H25:H34)</f>
        <v>266610.75599999994</v>
      </c>
      <c r="I36" s="87">
        <f>AVERAGE(I25:I34)</f>
        <v>90403266.645999998</v>
      </c>
    </row>
    <row r="38" spans="1:11" x14ac:dyDescent="0.25">
      <c r="A38" s="876" t="s">
        <v>10</v>
      </c>
      <c r="B38" s="876"/>
    </row>
    <row r="39" spans="1:11" x14ac:dyDescent="0.25">
      <c r="A39" s="12" t="s">
        <v>11</v>
      </c>
    </row>
    <row r="40" spans="1:11" x14ac:dyDescent="0.25">
      <c r="A40" s="12" t="s">
        <v>12</v>
      </c>
    </row>
  </sheetData>
  <mergeCells count="6">
    <mergeCell ref="K1:K2"/>
    <mergeCell ref="E1:F1"/>
    <mergeCell ref="B1:C1"/>
    <mergeCell ref="A38:B38"/>
    <mergeCell ref="H1:I1"/>
    <mergeCell ref="J1:J2"/>
  </mergeCells>
  <phoneticPr fontId="0" type="noConversion"/>
  <hyperlinks>
    <hyperlink ref="A1" location="'Index &amp; Instructions'!A1" display="Fiscal"/>
  </hyperlinks>
  <printOptions horizontalCentered="1"/>
  <pageMargins left="0.25" right="0.25" top="1.17" bottom="1.01" header="0.5" footer="0.17"/>
  <pageSetup scale="77" orientation="portrait" horizontalDpi="4294967292" r:id="rId1"/>
  <headerFooter alignWithMargins="0">
    <oddHeader xml:space="preserve">&amp;C&amp;"MS Sans Serif,Bold"&amp;12Oregon Department of Forestry
Historical Volume and Value of StateTimber Sales
</oddHeader>
    <oddFooter>&amp;L&amp;"MS Sans Serif,Italic"&amp;8State Forests Division
Data maintained by Joan M. Tenny&amp;R&amp;"MS Sans Serif,Italic"&amp;8&amp;F
November 2008
Data taken from TRAS mainframe
and ODF files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D1" sqref="D1"/>
    </sheetView>
  </sheetViews>
  <sheetFormatPr defaultRowHeight="12.6" x14ac:dyDescent="0.25"/>
  <cols>
    <col min="1" max="1" width="16" style="607" customWidth="1"/>
    <col min="2" max="2" width="15.33203125" customWidth="1"/>
    <col min="3" max="3" width="10.77734375" customWidth="1"/>
    <col min="4" max="4" width="15.109375" customWidth="1"/>
    <col min="5" max="23" width="5.6640625" customWidth="1"/>
    <col min="24" max="24" width="11.77734375" bestFit="1" customWidth="1"/>
  </cols>
  <sheetData>
    <row r="1" spans="1:4" x14ac:dyDescent="0.25">
      <c r="A1" s="605" t="s">
        <v>15</v>
      </c>
      <c r="B1" t="s">
        <v>433</v>
      </c>
      <c r="D1" s="852" t="s">
        <v>532</v>
      </c>
    </row>
    <row r="3" spans="1:4" ht="37.799999999999997" x14ac:dyDescent="0.25">
      <c r="A3" s="606" t="s">
        <v>414</v>
      </c>
      <c r="B3" s="608" t="s">
        <v>449</v>
      </c>
      <c r="C3" s="608" t="s">
        <v>450</v>
      </c>
      <c r="D3" s="774" t="s">
        <v>529</v>
      </c>
    </row>
    <row r="4" spans="1:4" x14ac:dyDescent="0.25">
      <c r="A4" s="607">
        <v>2000</v>
      </c>
      <c r="B4" s="498">
        <v>256164</v>
      </c>
      <c r="C4" s="498">
        <v>239615</v>
      </c>
      <c r="D4" s="773">
        <v>264789.18</v>
      </c>
    </row>
    <row r="5" spans="1:4" x14ac:dyDescent="0.25">
      <c r="A5" s="607">
        <v>2001</v>
      </c>
      <c r="B5" s="498">
        <v>226764</v>
      </c>
      <c r="C5" s="498">
        <v>209334</v>
      </c>
      <c r="D5" s="773">
        <v>228695.26</v>
      </c>
    </row>
    <row r="6" spans="1:4" x14ac:dyDescent="0.25">
      <c r="A6" s="607">
        <v>2002</v>
      </c>
      <c r="B6" s="498">
        <v>205628</v>
      </c>
      <c r="C6" s="498">
        <v>215046</v>
      </c>
      <c r="D6" s="773">
        <v>257883.4</v>
      </c>
    </row>
    <row r="7" spans="1:4" x14ac:dyDescent="0.25">
      <c r="A7" s="607">
        <v>2003</v>
      </c>
      <c r="B7" s="498">
        <v>232156</v>
      </c>
      <c r="C7" s="498">
        <v>242336</v>
      </c>
      <c r="D7" s="773">
        <v>277822.19999999995</v>
      </c>
    </row>
    <row r="8" spans="1:4" x14ac:dyDescent="0.25">
      <c r="A8" s="607">
        <v>2004</v>
      </c>
      <c r="B8" s="498">
        <v>294567</v>
      </c>
      <c r="C8" s="498">
        <v>305915</v>
      </c>
      <c r="D8" s="773">
        <v>271808.98999999993</v>
      </c>
    </row>
    <row r="9" spans="1:4" x14ac:dyDescent="0.25">
      <c r="A9" s="607">
        <v>2005</v>
      </c>
      <c r="B9" s="498">
        <v>262520</v>
      </c>
      <c r="C9" s="498">
        <v>246682</v>
      </c>
      <c r="D9" s="773">
        <v>323711.35999999993</v>
      </c>
    </row>
    <row r="10" spans="1:4" x14ac:dyDescent="0.25">
      <c r="A10" s="607">
        <v>2006</v>
      </c>
      <c r="B10" s="498">
        <v>322355</v>
      </c>
      <c r="C10" s="498">
        <v>311786</v>
      </c>
      <c r="D10" s="773">
        <v>294741.2</v>
      </c>
    </row>
    <row r="11" spans="1:4" x14ac:dyDescent="0.25">
      <c r="A11" s="607">
        <v>2007</v>
      </c>
      <c r="B11" s="498">
        <v>236555</v>
      </c>
      <c r="C11" s="498">
        <v>266538</v>
      </c>
      <c r="D11" s="773">
        <v>271481.43000000005</v>
      </c>
    </row>
    <row r="12" spans="1:4" x14ac:dyDescent="0.25">
      <c r="A12" s="607">
        <v>2008</v>
      </c>
      <c r="B12" s="498">
        <v>230900</v>
      </c>
      <c r="C12" s="498">
        <v>251994</v>
      </c>
      <c r="D12" s="773">
        <v>259552.26</v>
      </c>
    </row>
    <row r="13" spans="1:4" x14ac:dyDescent="0.25">
      <c r="A13" s="607">
        <v>2009</v>
      </c>
      <c r="B13" s="498">
        <v>249040</v>
      </c>
      <c r="C13" s="498">
        <v>251409</v>
      </c>
      <c r="D13" s="773">
        <v>266201.34999999998</v>
      </c>
    </row>
    <row r="14" spans="1:4" x14ac:dyDescent="0.25">
      <c r="A14" s="607">
        <v>2010</v>
      </c>
      <c r="B14" s="498">
        <v>226621</v>
      </c>
      <c r="C14" s="498">
        <v>233250</v>
      </c>
      <c r="D14" s="773">
        <v>292953.81</v>
      </c>
    </row>
    <row r="15" spans="1:4" x14ac:dyDescent="0.25">
      <c r="A15" s="607">
        <v>2011</v>
      </c>
      <c r="B15" s="498">
        <v>235969</v>
      </c>
      <c r="C15" s="498">
        <v>231452</v>
      </c>
      <c r="D15" s="773">
        <v>271675.41000000003</v>
      </c>
    </row>
    <row r="16" spans="1:4" x14ac:dyDescent="0.25">
      <c r="A16" s="607">
        <v>2012</v>
      </c>
      <c r="B16" s="498">
        <v>215441</v>
      </c>
      <c r="C16" s="498">
        <v>214724</v>
      </c>
      <c r="D16" s="773">
        <v>262941.44</v>
      </c>
    </row>
    <row r="17" spans="1:4" x14ac:dyDescent="0.25">
      <c r="A17" s="607">
        <v>2013</v>
      </c>
      <c r="B17" s="498">
        <v>239894</v>
      </c>
      <c r="C17" s="498">
        <v>241671</v>
      </c>
      <c r="D17" s="773">
        <v>240564.01</v>
      </c>
    </row>
    <row r="18" spans="1:4" x14ac:dyDescent="0.25">
      <c r="A18" s="607">
        <v>2014</v>
      </c>
      <c r="B18" s="498">
        <v>225507</v>
      </c>
      <c r="C18" s="498">
        <v>211897</v>
      </c>
      <c r="D18" s="773">
        <v>231822.12</v>
      </c>
    </row>
    <row r="19" spans="1:4" x14ac:dyDescent="0.25">
      <c r="A19" s="607">
        <v>2015</v>
      </c>
      <c r="B19" s="498">
        <v>237992</v>
      </c>
      <c r="C19" s="498">
        <v>228616</v>
      </c>
      <c r="D19" s="773">
        <v>274174.53000000003</v>
      </c>
    </row>
    <row r="20" spans="1:4" x14ac:dyDescent="0.25">
      <c r="A20" s="607" t="s">
        <v>79</v>
      </c>
      <c r="B20" s="498">
        <v>3898073</v>
      </c>
      <c r="C20" s="498">
        <v>3902265</v>
      </c>
      <c r="D20" s="773">
        <v>4290817.95</v>
      </c>
    </row>
    <row r="21" spans="1:4" x14ac:dyDescent="0.25">
      <c r="A21"/>
    </row>
    <row r="22" spans="1:4" x14ac:dyDescent="0.25">
      <c r="A22"/>
    </row>
    <row r="23" spans="1:4" x14ac:dyDescent="0.25">
      <c r="A23"/>
    </row>
    <row r="24" spans="1:4" x14ac:dyDescent="0.25">
      <c r="A24"/>
    </row>
    <row r="25" spans="1:4" x14ac:dyDescent="0.25">
      <c r="A25"/>
    </row>
    <row r="26" spans="1:4" x14ac:dyDescent="0.25">
      <c r="A26"/>
    </row>
    <row r="27" spans="1:4" x14ac:dyDescent="0.25">
      <c r="A27"/>
    </row>
  </sheetData>
  <hyperlinks>
    <hyperlink ref="D1" location="'Index &amp; Instructions'!A1" display="HOME"/>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showGridLines="0" workbookViewId="0"/>
  </sheetViews>
  <sheetFormatPr defaultRowHeight="12.6" x14ac:dyDescent="0.25"/>
  <cols>
    <col min="1" max="1" width="8.77734375" style="107"/>
    <col min="2" max="3" width="10.44140625" customWidth="1"/>
    <col min="4" max="4" width="12.77734375" customWidth="1"/>
    <col min="5" max="5" width="12.33203125" customWidth="1"/>
    <col min="6" max="6" width="15.109375" customWidth="1"/>
    <col min="7" max="7" width="14.77734375" customWidth="1"/>
    <col min="8" max="8" width="14" bestFit="1" customWidth="1"/>
    <col min="9" max="9" width="14.6640625" customWidth="1"/>
    <col min="10" max="10" width="10.88671875" style="121" bestFit="1" customWidth="1"/>
  </cols>
  <sheetData>
    <row r="1" spans="1:34" ht="23.4" customHeight="1" thickBot="1" x14ac:dyDescent="0.35">
      <c r="A1" s="852" t="s">
        <v>532</v>
      </c>
      <c r="B1" s="879" t="s">
        <v>278</v>
      </c>
      <c r="C1" s="880"/>
      <c r="D1" s="880"/>
      <c r="E1" s="880"/>
      <c r="F1" s="880"/>
      <c r="G1" s="881"/>
      <c r="H1" s="882" t="s">
        <v>279</v>
      </c>
      <c r="I1" s="883"/>
      <c r="J1" s="196"/>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34" ht="45.6" customHeight="1" x14ac:dyDescent="0.25">
      <c r="A2" s="164" t="s">
        <v>14</v>
      </c>
      <c r="B2" s="184" t="s">
        <v>16</v>
      </c>
      <c r="C2" s="187" t="s">
        <v>17</v>
      </c>
      <c r="D2" s="185" t="s">
        <v>184</v>
      </c>
      <c r="E2" s="184" t="s">
        <v>18</v>
      </c>
      <c r="F2" s="186" t="s">
        <v>19</v>
      </c>
      <c r="G2" s="185" t="s">
        <v>185</v>
      </c>
      <c r="H2" s="214" t="s">
        <v>281</v>
      </c>
      <c r="I2" s="215" t="s">
        <v>280</v>
      </c>
      <c r="J2" s="216"/>
      <c r="K2" s="217" t="s">
        <v>282</v>
      </c>
      <c r="L2" s="195"/>
      <c r="M2" s="195"/>
      <c r="N2" s="195"/>
      <c r="O2" s="195"/>
      <c r="P2" s="195"/>
      <c r="Q2" s="195"/>
      <c r="R2" s="195"/>
      <c r="S2" s="195"/>
      <c r="T2" s="195"/>
      <c r="U2" s="195"/>
      <c r="V2" s="195"/>
      <c r="W2" s="195"/>
      <c r="X2" s="195"/>
      <c r="Y2" s="195"/>
      <c r="Z2" s="195"/>
      <c r="AA2" s="195"/>
      <c r="AB2" s="195"/>
      <c r="AC2" s="195"/>
      <c r="AD2" s="195"/>
      <c r="AE2" s="195"/>
      <c r="AF2" s="195"/>
      <c r="AG2" s="195"/>
      <c r="AH2" s="195"/>
    </row>
    <row r="3" spans="1:34" ht="13.2" x14ac:dyDescent="0.25">
      <c r="A3" s="165">
        <v>2000</v>
      </c>
      <c r="B3" s="168">
        <f>+'TAB1.0 Accomplshmnt by District'!E78</f>
        <v>713.81</v>
      </c>
      <c r="C3" s="178">
        <f>+'TAB1.0 Accomplshmnt by District'!G78</f>
        <v>40852.410000000003</v>
      </c>
      <c r="D3" s="171">
        <f>SUM(B3:C3)</f>
        <v>41566.22</v>
      </c>
      <c r="E3" s="173">
        <f>+'TAB1.0 Accomplshmnt by District'!J78</f>
        <v>160223.01</v>
      </c>
      <c r="F3" s="181">
        <f>+'TAB1.0 Accomplshmnt by District'!L78</f>
        <v>20727140.879999999</v>
      </c>
      <c r="G3" s="174">
        <f>SUM(E3:F3)</f>
        <v>20887363.890000001</v>
      </c>
      <c r="H3" s="188">
        <f>+'TAB1.0 Accomplshmnt by District'!G81-'TAB1.0 Accomplshmnt by District'!G78</f>
        <v>8862.3000000000029</v>
      </c>
      <c r="I3" s="189">
        <f>+'TAB1.0 Accomplshmnt by District'!L81-'TAB1.0 Accomplshmnt by District'!L78</f>
        <v>3671780.0599999987</v>
      </c>
      <c r="J3" s="218">
        <v>2000</v>
      </c>
      <c r="K3" s="219">
        <f>+(H3+C3)-'TAB1.0 Accomplshmnt by District'!G81</f>
        <v>0</v>
      </c>
      <c r="L3" s="195"/>
      <c r="M3" s="195"/>
      <c r="N3" s="195"/>
      <c r="O3" s="195"/>
      <c r="P3" s="195"/>
      <c r="Q3" s="195"/>
      <c r="R3" s="195"/>
      <c r="S3" s="195"/>
      <c r="T3" s="195"/>
      <c r="U3" s="195"/>
      <c r="V3" s="195"/>
      <c r="W3" s="195"/>
      <c r="X3" s="195"/>
      <c r="Y3" s="195"/>
      <c r="Z3" s="195"/>
      <c r="AA3" s="195"/>
      <c r="AB3" s="195"/>
      <c r="AC3" s="195"/>
      <c r="AD3" s="195"/>
      <c r="AE3" s="195"/>
      <c r="AF3" s="195"/>
      <c r="AG3" s="195"/>
      <c r="AH3" s="195"/>
    </row>
    <row r="4" spans="1:34" ht="13.2" x14ac:dyDescent="0.25">
      <c r="A4" s="166">
        <v>2001</v>
      </c>
      <c r="B4" s="169">
        <f>+'TAB1.0 Accomplshmnt by District'!E88</f>
        <v>2596.0700000000002</v>
      </c>
      <c r="C4" s="179">
        <f>+'TAB1.0 Accomplshmnt by District'!G88</f>
        <v>31350.34</v>
      </c>
      <c r="D4" s="172">
        <f t="shared" ref="D4:D18" si="0">SUM(B4:C4)</f>
        <v>33946.410000000003</v>
      </c>
      <c r="E4" s="175">
        <f>+'TAB1.0 Accomplshmnt by District'!J88</f>
        <v>669753.24</v>
      </c>
      <c r="F4" s="182">
        <f>+'TAB1.0 Accomplshmnt by District'!L88</f>
        <v>17117533.879999999</v>
      </c>
      <c r="G4" s="176">
        <f t="shared" ref="G4:G18" si="1">SUM(E4:F4)</f>
        <v>17787287.119999997</v>
      </c>
      <c r="H4" s="190">
        <f>+'TAB1.0 Accomplshmnt by District'!G91-'TAB1.0 Accomplshmnt by District'!G88</f>
        <v>4276.2800000000025</v>
      </c>
      <c r="I4" s="191">
        <f>+'TAB1.0 Accomplshmnt by District'!L91-'TAB1.0 Accomplshmnt by District'!L88</f>
        <v>1720331.3300000019</v>
      </c>
      <c r="J4" s="218">
        <v>2001</v>
      </c>
      <c r="K4" s="219">
        <f>+(H4+C4)-'TAB1.0 Accomplshmnt by District'!G91</f>
        <v>0</v>
      </c>
      <c r="L4" s="195"/>
      <c r="M4" s="195"/>
      <c r="N4" s="195"/>
      <c r="O4" s="195"/>
      <c r="P4" s="195"/>
      <c r="Q4" s="195"/>
      <c r="R4" s="195"/>
      <c r="S4" s="195"/>
      <c r="T4" s="195"/>
      <c r="U4" s="195"/>
      <c r="V4" s="195"/>
      <c r="W4" s="195"/>
      <c r="X4" s="195"/>
      <c r="Y4" s="195"/>
      <c r="Z4" s="195"/>
      <c r="AA4" s="195"/>
      <c r="AB4" s="195"/>
      <c r="AC4" s="195"/>
      <c r="AD4" s="195"/>
      <c r="AE4" s="195"/>
      <c r="AF4" s="195"/>
      <c r="AG4" s="195"/>
      <c r="AH4" s="195"/>
    </row>
    <row r="5" spans="1:34" ht="13.2" x14ac:dyDescent="0.25">
      <c r="A5" s="166">
        <v>2002</v>
      </c>
      <c r="B5" s="169">
        <f>+'TAB1.0 Accomplshmnt by District'!E98</f>
        <v>2249.86</v>
      </c>
      <c r="C5" s="179">
        <f>+'TAB1.0 Accomplshmnt by District'!G98</f>
        <v>25347.51</v>
      </c>
      <c r="D5" s="172">
        <f t="shared" si="0"/>
        <v>27597.37</v>
      </c>
      <c r="E5" s="175">
        <f>+'TAB1.0 Accomplshmnt by District'!J98</f>
        <v>1279870.24</v>
      </c>
      <c r="F5" s="182">
        <f>+'TAB1.0 Accomplshmnt by District'!L98</f>
        <v>12494524.9</v>
      </c>
      <c r="G5" s="176">
        <f t="shared" si="1"/>
        <v>13774395.140000001</v>
      </c>
      <c r="H5" s="190">
        <f>+'TAB1.0 Accomplshmnt by District'!G101-'TAB1.0 Accomplshmnt by District'!G98</f>
        <v>4209.2599999999984</v>
      </c>
      <c r="I5" s="191">
        <f>+'TAB1.0 Accomplshmnt by District'!L101-'TAB1.0 Accomplshmnt by District'!L98</f>
        <v>1548592.2799999993</v>
      </c>
      <c r="J5" s="218">
        <v>2002</v>
      </c>
      <c r="K5" s="219">
        <f>+(H5+C5)-'TAB1.0 Accomplshmnt by District'!G101</f>
        <v>0</v>
      </c>
      <c r="L5" s="195"/>
      <c r="M5" s="195"/>
      <c r="N5" s="195"/>
      <c r="O5" s="195"/>
      <c r="P5" s="195"/>
      <c r="Q5" s="195"/>
      <c r="R5" s="195"/>
      <c r="S5" s="195"/>
      <c r="T5" s="195"/>
      <c r="U5" s="195"/>
      <c r="V5" s="195"/>
      <c r="W5" s="195"/>
      <c r="X5" s="195"/>
      <c r="Y5" s="195"/>
      <c r="Z5" s="195"/>
      <c r="AA5" s="195"/>
      <c r="AB5" s="195"/>
      <c r="AC5" s="195"/>
      <c r="AD5" s="195"/>
      <c r="AE5" s="195"/>
      <c r="AF5" s="195"/>
      <c r="AG5" s="195"/>
      <c r="AH5" s="195"/>
    </row>
    <row r="6" spans="1:34" ht="13.2" x14ac:dyDescent="0.25">
      <c r="A6" s="166">
        <v>2003</v>
      </c>
      <c r="B6" s="169">
        <f>+'TAB1.0 Accomplshmnt by District'!E108</f>
        <v>837.88</v>
      </c>
      <c r="C6" s="179">
        <f>+'TAB1.0 Accomplshmnt by District'!G108</f>
        <v>17923</v>
      </c>
      <c r="D6" s="172">
        <f t="shared" si="0"/>
        <v>18760.88</v>
      </c>
      <c r="E6" s="175">
        <f>+'TAB1.0 Accomplshmnt by District'!J108</f>
        <v>213518</v>
      </c>
      <c r="F6" s="182">
        <f>+'TAB1.0 Accomplshmnt by District'!L108</f>
        <v>8559888.9399999995</v>
      </c>
      <c r="G6" s="176">
        <f t="shared" si="1"/>
        <v>8773406.9399999995</v>
      </c>
      <c r="H6" s="190">
        <f>+'TAB1.0 Accomplshmnt by District'!G111-'TAB1.0 Accomplshmnt by District'!G108</f>
        <v>6367.1500000000015</v>
      </c>
      <c r="I6" s="191">
        <f>+'TAB1.0 Accomplshmnt by District'!L111-'TAB1.0 Accomplshmnt by District'!L108</f>
        <v>2429069.4900000002</v>
      </c>
      <c r="J6" s="218">
        <v>2003</v>
      </c>
      <c r="K6" s="219">
        <f>+(H6+C6)-'TAB1.0 Accomplshmnt by District'!G111</f>
        <v>0</v>
      </c>
      <c r="L6" s="195"/>
      <c r="M6" s="195"/>
      <c r="N6" s="195"/>
      <c r="O6" s="195"/>
      <c r="P6" s="195"/>
      <c r="Q6" s="195"/>
      <c r="R6" s="195"/>
      <c r="S6" s="195"/>
      <c r="T6" s="195"/>
      <c r="U6" s="195"/>
      <c r="V6" s="195"/>
      <c r="W6" s="195"/>
      <c r="X6" s="195"/>
      <c r="Y6" s="195"/>
      <c r="Z6" s="195"/>
      <c r="AA6" s="195"/>
      <c r="AB6" s="195"/>
      <c r="AC6" s="195"/>
      <c r="AD6" s="195"/>
      <c r="AE6" s="195"/>
      <c r="AF6" s="195"/>
      <c r="AG6" s="195"/>
      <c r="AH6" s="195"/>
    </row>
    <row r="7" spans="1:34" ht="13.2" x14ac:dyDescent="0.25">
      <c r="A7" s="166">
        <v>2004</v>
      </c>
      <c r="B7" s="169">
        <f>+'TAB1.0 Accomplshmnt by District'!E118</f>
        <v>1073.3499999999999</v>
      </c>
      <c r="C7" s="179">
        <f>+'TAB1.0 Accomplshmnt by District'!G118</f>
        <v>27816.34</v>
      </c>
      <c r="D7" s="172">
        <f t="shared" si="0"/>
        <v>28889.69</v>
      </c>
      <c r="E7" s="175">
        <f>+'TAB1.0 Accomplshmnt by District'!J118</f>
        <v>451540.64</v>
      </c>
      <c r="F7" s="182">
        <f>+'TAB1.0 Accomplshmnt by District'!L118</f>
        <v>12830294.880000001</v>
      </c>
      <c r="G7" s="176">
        <f t="shared" si="1"/>
        <v>13281835.520000001</v>
      </c>
      <c r="H7" s="190">
        <f>+'TAB1.0 Accomplshmnt by District'!G121-'TAB1.0 Accomplshmnt by District'!G118</f>
        <v>4606.91</v>
      </c>
      <c r="I7" s="191">
        <f>+'TAB1.0 Accomplshmnt by District'!L121-'TAB1.0 Accomplshmnt by District'!L118</f>
        <v>1386123.4800000004</v>
      </c>
      <c r="J7" s="218">
        <v>2004</v>
      </c>
      <c r="K7" s="219">
        <f>+(H7+C7)-'TAB1.0 Accomplshmnt by District'!G121</f>
        <v>0</v>
      </c>
      <c r="L7" s="195"/>
      <c r="M7" s="195"/>
      <c r="N7" s="195"/>
      <c r="O7" s="195"/>
      <c r="P7" s="195"/>
      <c r="Q7" s="195"/>
      <c r="R7" s="195"/>
      <c r="S7" s="195"/>
      <c r="T7" s="195"/>
      <c r="U7" s="195"/>
      <c r="V7" s="195"/>
      <c r="W7" s="195"/>
      <c r="X7" s="195"/>
      <c r="Y7" s="195"/>
      <c r="Z7" s="195"/>
      <c r="AA7" s="195"/>
      <c r="AB7" s="195"/>
      <c r="AC7" s="195"/>
      <c r="AD7" s="195"/>
      <c r="AE7" s="195"/>
      <c r="AF7" s="195"/>
      <c r="AG7" s="195"/>
      <c r="AH7" s="195"/>
    </row>
    <row r="8" spans="1:34" ht="13.2" x14ac:dyDescent="0.25">
      <c r="A8" s="166">
        <v>2005</v>
      </c>
      <c r="B8" s="169">
        <f>+'TAB1.0 Accomplshmnt by District'!E128</f>
        <v>338.48</v>
      </c>
      <c r="C8" s="179">
        <f>+'TAB1.0 Accomplshmnt by District'!G128</f>
        <v>32942.76</v>
      </c>
      <c r="D8" s="172">
        <f t="shared" si="0"/>
        <v>33281.240000000005</v>
      </c>
      <c r="E8" s="175">
        <f>+'TAB1.0 Accomplshmnt by District'!J128</f>
        <v>97257.03</v>
      </c>
      <c r="F8" s="182">
        <f>+'TAB1.0 Accomplshmnt by District'!L128</f>
        <v>18143239.010000002</v>
      </c>
      <c r="G8" s="176">
        <f t="shared" si="1"/>
        <v>18240496.040000003</v>
      </c>
      <c r="H8" s="190">
        <f>+'TAB1.0 Accomplshmnt by District'!G131-'TAB1.0 Accomplshmnt by District'!G128</f>
        <v>9163.6199999999953</v>
      </c>
      <c r="I8" s="191">
        <f>+'TAB1.0 Accomplshmnt by District'!L131-'TAB1.0 Accomplshmnt by District'!L128</f>
        <v>1936933.3699999973</v>
      </c>
      <c r="J8" s="218">
        <v>2005</v>
      </c>
      <c r="K8" s="219">
        <f>+(H8+C8)-'TAB1.0 Accomplshmnt by District'!G131</f>
        <v>0</v>
      </c>
      <c r="L8" s="195"/>
      <c r="M8" s="195"/>
      <c r="N8" s="195"/>
      <c r="O8" s="195"/>
      <c r="P8" s="195"/>
      <c r="Q8" s="195"/>
      <c r="R8" s="195"/>
      <c r="S8" s="195"/>
      <c r="T8" s="195"/>
      <c r="U8" s="195"/>
      <c r="V8" s="195"/>
      <c r="W8" s="195"/>
      <c r="X8" s="195"/>
      <c r="Y8" s="195"/>
      <c r="Z8" s="195"/>
      <c r="AA8" s="195"/>
      <c r="AB8" s="195"/>
      <c r="AC8" s="195"/>
      <c r="AD8" s="195"/>
      <c r="AE8" s="195"/>
      <c r="AF8" s="195"/>
      <c r="AG8" s="195"/>
      <c r="AH8" s="195"/>
    </row>
    <row r="9" spans="1:34" ht="13.2" x14ac:dyDescent="0.25">
      <c r="A9" s="166">
        <v>2006</v>
      </c>
      <c r="B9" s="169">
        <f>+'TAB1.0 Accomplshmnt by District'!E138</f>
        <v>1707.82</v>
      </c>
      <c r="C9" s="179">
        <f>+'TAB1.0 Accomplshmnt by District'!G138</f>
        <v>11079.18</v>
      </c>
      <c r="D9" s="172">
        <f t="shared" si="0"/>
        <v>12787</v>
      </c>
      <c r="E9" s="175">
        <f>+'TAB1.0 Accomplshmnt by District'!J138</f>
        <v>841044.51</v>
      </c>
      <c r="F9" s="182">
        <f>+'TAB1.0 Accomplshmnt by District'!L138</f>
        <v>5970215.5999999996</v>
      </c>
      <c r="G9" s="176">
        <f t="shared" si="1"/>
        <v>6811260.1099999994</v>
      </c>
      <c r="H9" s="190">
        <f>+'TAB1.0 Accomplshmnt by District'!G141-'TAB1.0 Accomplshmnt by District'!G138</f>
        <v>6753.68</v>
      </c>
      <c r="I9" s="191">
        <f>+'TAB1.0 Accomplshmnt by District'!L141-'TAB1.0 Accomplshmnt by District'!L138</f>
        <v>1639442.13</v>
      </c>
      <c r="J9" s="218">
        <v>2006</v>
      </c>
      <c r="K9" s="219">
        <f>+(H9+C9)-'TAB1.0 Accomplshmnt by District'!G141</f>
        <v>0</v>
      </c>
      <c r="L9" s="195"/>
      <c r="M9" s="195"/>
      <c r="N9" s="195"/>
      <c r="O9" s="195"/>
      <c r="P9" s="195"/>
      <c r="Q9" s="195"/>
      <c r="R9" s="195"/>
      <c r="S9" s="195"/>
      <c r="T9" s="195"/>
      <c r="U9" s="195"/>
      <c r="V9" s="195"/>
      <c r="W9" s="195"/>
      <c r="X9" s="195"/>
      <c r="Y9" s="195"/>
      <c r="Z9" s="195"/>
      <c r="AA9" s="195"/>
      <c r="AB9" s="195"/>
      <c r="AC9" s="195"/>
      <c r="AD9" s="195"/>
      <c r="AE9" s="195"/>
      <c r="AF9" s="195"/>
      <c r="AG9" s="195"/>
      <c r="AH9" s="195"/>
    </row>
    <row r="10" spans="1:34" ht="13.2" x14ac:dyDescent="0.25">
      <c r="A10" s="166">
        <v>2007</v>
      </c>
      <c r="B10" s="169">
        <f>+'TAB1.0 Accomplshmnt by District'!E148</f>
        <v>3002.72</v>
      </c>
      <c r="C10" s="179">
        <f>+'TAB1.0 Accomplshmnt by District'!G148</f>
        <v>20405.330000000002</v>
      </c>
      <c r="D10" s="172">
        <f t="shared" si="0"/>
        <v>23408.050000000003</v>
      </c>
      <c r="E10" s="175">
        <f>+'TAB1.0 Accomplshmnt by District'!J148</f>
        <v>1460024.83</v>
      </c>
      <c r="F10" s="182">
        <f>+'TAB1.0 Accomplshmnt by District'!L148</f>
        <v>10723012.59</v>
      </c>
      <c r="G10" s="176">
        <f t="shared" si="1"/>
        <v>12183037.42</v>
      </c>
      <c r="H10" s="190">
        <f>+'TAB1.0 Accomplshmnt by District'!G151-'TAB1.0 Accomplshmnt by District'!G148</f>
        <v>6678.27</v>
      </c>
      <c r="I10" s="191">
        <f>+'TAB1.0 Accomplshmnt by District'!L151-'TAB1.0 Accomplshmnt by District'!L148</f>
        <v>2037978.9600000009</v>
      </c>
      <c r="J10" s="218">
        <v>2007</v>
      </c>
      <c r="K10" s="219">
        <f>+(H10+C10)-'TAB1.0 Accomplshmnt by District'!G151</f>
        <v>0</v>
      </c>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row>
    <row r="11" spans="1:34" ht="13.2" x14ac:dyDescent="0.25">
      <c r="A11" s="166">
        <v>2008</v>
      </c>
      <c r="B11" s="169">
        <f>+'TAB1.0 Accomplshmnt by District'!E158</f>
        <v>5300.71</v>
      </c>
      <c r="C11" s="179">
        <f>+'TAB1.0 Accomplshmnt by District'!G158</f>
        <v>14637.47</v>
      </c>
      <c r="D11" s="172">
        <f t="shared" si="0"/>
        <v>19938.18</v>
      </c>
      <c r="E11" s="175">
        <f>+'TAB1.0 Accomplshmnt by District'!J158</f>
        <v>2680583.17</v>
      </c>
      <c r="F11" s="182">
        <f>+'TAB1.0 Accomplshmnt by District'!L158</f>
        <v>8664937</v>
      </c>
      <c r="G11" s="176">
        <f t="shared" si="1"/>
        <v>11345520.17</v>
      </c>
      <c r="H11" s="190">
        <f>+'TAB1.0 Accomplshmnt by District'!G161-'TAB1.0 Accomplshmnt by District'!G158</f>
        <v>8336.56</v>
      </c>
      <c r="I11" s="191">
        <f>+'TAB1.0 Accomplshmnt by District'!L161-'TAB1.0 Accomplshmnt by District'!L158</f>
        <v>3323958.34</v>
      </c>
      <c r="J11" s="218">
        <v>2008</v>
      </c>
      <c r="K11" s="219">
        <f>+(H11+C11)-'TAB1.0 Accomplshmnt by District'!G161</f>
        <v>0</v>
      </c>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row>
    <row r="12" spans="1:34" ht="13.2" x14ac:dyDescent="0.25">
      <c r="A12" s="166">
        <v>2009</v>
      </c>
      <c r="B12" s="169">
        <f>+'TAB1.0 Accomplshmnt by District'!E168</f>
        <v>2326.9899999999998</v>
      </c>
      <c r="C12" s="179">
        <f>+'TAB1.0 Accomplshmnt by District'!G168</f>
        <v>18742.32</v>
      </c>
      <c r="D12" s="172">
        <f t="shared" si="0"/>
        <v>21069.309999999998</v>
      </c>
      <c r="E12" s="175">
        <f>+'TAB1.0 Accomplshmnt by District'!J168</f>
        <v>628038.43999999994</v>
      </c>
      <c r="F12" s="182">
        <f>+'TAB1.0 Accomplshmnt by District'!L168</f>
        <v>8676962.4600000009</v>
      </c>
      <c r="G12" s="176">
        <f t="shared" si="1"/>
        <v>9305000.9000000004</v>
      </c>
      <c r="H12" s="190">
        <f>+'TAB1.0 Accomplshmnt by District'!G171-'TAB1.0 Accomplshmnt by District'!G168</f>
        <v>10545.29</v>
      </c>
      <c r="I12" s="191">
        <f>+'TAB1.0 Accomplshmnt by District'!L171-'TAB1.0 Accomplshmnt by District'!L168</f>
        <v>3742821.34</v>
      </c>
      <c r="J12" s="218">
        <v>2009</v>
      </c>
      <c r="K12" s="219">
        <f>+(H12+C12)-'TAB1.0 Accomplshmnt by District'!G171</f>
        <v>0</v>
      </c>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row>
    <row r="13" spans="1:34" ht="13.2" x14ac:dyDescent="0.25">
      <c r="A13" s="166">
        <v>2010</v>
      </c>
      <c r="B13" s="169">
        <f>+'TAB1.0 Accomplshmnt by District'!E178</f>
        <v>1728.99</v>
      </c>
      <c r="C13" s="179">
        <f>+'TAB1.0 Accomplshmnt by District'!G178</f>
        <v>16044.71</v>
      </c>
      <c r="D13" s="172">
        <f t="shared" si="0"/>
        <v>17773.7</v>
      </c>
      <c r="E13" s="175">
        <f>+'TAB1.0 Accomplshmnt by District'!J178</f>
        <v>517011.27</v>
      </c>
      <c r="F13" s="182">
        <f>+'TAB1.0 Accomplshmnt by District'!L178</f>
        <v>6394983.7599999998</v>
      </c>
      <c r="G13" s="176">
        <f t="shared" si="1"/>
        <v>6911995.0299999993</v>
      </c>
      <c r="H13" s="190">
        <f>+'TAB1.0 Accomplshmnt by District'!G181-'TAB1.0 Accomplshmnt by District'!G178</f>
        <v>8766.7999999999993</v>
      </c>
      <c r="I13" s="191">
        <f>+'TAB1.0 Accomplshmnt by District'!L181-'TAB1.0 Accomplshmnt by District'!L178</f>
        <v>1827014.0200000005</v>
      </c>
      <c r="J13" s="218">
        <v>2010</v>
      </c>
      <c r="K13" s="219">
        <f>+(H13+C13)-'TAB1.0 Accomplshmnt by District'!G181</f>
        <v>0</v>
      </c>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row>
    <row r="14" spans="1:34" ht="13.2" x14ac:dyDescent="0.25">
      <c r="A14" s="166">
        <v>2011</v>
      </c>
      <c r="B14" s="169">
        <f>+'TAB1.0 Accomplshmnt by District'!E188</f>
        <v>2671</v>
      </c>
      <c r="C14" s="179">
        <f>+'TAB1.0 Accomplshmnt by District'!G188</f>
        <v>27873</v>
      </c>
      <c r="D14" s="172">
        <f t="shared" si="0"/>
        <v>30544</v>
      </c>
      <c r="E14" s="175">
        <f>+'TAB1.0 Accomplshmnt by District'!J188</f>
        <v>839591</v>
      </c>
      <c r="F14" s="182">
        <f>+'TAB1.0 Accomplshmnt by District'!L188</f>
        <v>10650015</v>
      </c>
      <c r="G14" s="176">
        <f t="shared" si="1"/>
        <v>11489606</v>
      </c>
      <c r="H14" s="190">
        <f>+'TAB1.0 Accomplshmnt by District'!G191-'TAB1.0 Accomplshmnt by District'!G188</f>
        <v>4242.8499999999985</v>
      </c>
      <c r="I14" s="191">
        <f>+'TAB1.0 Accomplshmnt by District'!L191-'TAB1.0 Accomplshmnt by District'!L188</f>
        <v>919889.02999999933</v>
      </c>
      <c r="J14" s="218">
        <v>2011</v>
      </c>
      <c r="K14" s="219">
        <f>+(H14+C14)-'TAB1.0 Accomplshmnt by District'!G191</f>
        <v>0</v>
      </c>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row>
    <row r="15" spans="1:34" ht="13.2" x14ac:dyDescent="0.25">
      <c r="A15" s="166">
        <v>2012</v>
      </c>
      <c r="B15" s="169">
        <f>+'TAB1.0 Accomplshmnt by District'!E198</f>
        <v>880.8</v>
      </c>
      <c r="C15" s="179">
        <f>+'TAB1.0 Accomplshmnt by District'!G198</f>
        <v>28539.93</v>
      </c>
      <c r="D15" s="172">
        <f t="shared" si="0"/>
        <v>29420.73</v>
      </c>
      <c r="E15" s="175">
        <f>+'TAB1.0 Accomplshmnt by District'!J198</f>
        <v>296468.65000000002</v>
      </c>
      <c r="F15" s="182">
        <f>+'TAB1.0 Accomplshmnt by District'!L198</f>
        <v>10939549.85</v>
      </c>
      <c r="G15" s="176">
        <f t="shared" si="1"/>
        <v>11236018.5</v>
      </c>
      <c r="H15" s="190">
        <f>+'TAB1.0 Accomplshmnt by District'!G201-'TAB1.0 Accomplshmnt by District'!G198</f>
        <v>3710.0400000000009</v>
      </c>
      <c r="I15" s="191">
        <f>+'TAB1.0 Accomplshmnt by District'!L201-'TAB1.0 Accomplshmnt by District'!L198</f>
        <v>1064930.8899999987</v>
      </c>
      <c r="J15" s="218">
        <v>2012</v>
      </c>
      <c r="K15" s="219">
        <f>+(H15+C15)-'TAB1.0 Accomplshmnt by District'!G201</f>
        <v>0</v>
      </c>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row>
    <row r="16" spans="1:34" ht="13.2" x14ac:dyDescent="0.25">
      <c r="A16" s="166">
        <v>2013</v>
      </c>
      <c r="B16" s="169">
        <f>+'TAB1.0 Accomplshmnt by District'!E208</f>
        <v>0</v>
      </c>
      <c r="C16" s="179">
        <f>+'TAB1.0 Accomplshmnt by District'!G208</f>
        <v>4514.2700000000004</v>
      </c>
      <c r="D16" s="172">
        <f t="shared" si="0"/>
        <v>4514.2700000000004</v>
      </c>
      <c r="E16" s="175">
        <f>+'TAB1.0 Accomplshmnt by District'!J208</f>
        <v>0</v>
      </c>
      <c r="F16" s="182">
        <f>+'TAB1.0 Accomplshmnt by District'!L208</f>
        <v>1672545.78</v>
      </c>
      <c r="G16" s="176">
        <f t="shared" si="1"/>
        <v>1672545.78</v>
      </c>
      <c r="H16" s="190">
        <f>+'TAB1.0 Accomplshmnt by District'!G211-'TAB1.0 Accomplshmnt by District'!G208</f>
        <v>6561.9700000000012</v>
      </c>
      <c r="I16" s="191">
        <f>+'TAB1.0 Accomplshmnt by District'!L211-'TAB1.0 Accomplshmnt by District'!L208</f>
        <v>1926484.0000000002</v>
      </c>
      <c r="J16" s="218">
        <v>2013</v>
      </c>
      <c r="K16" s="219">
        <f>+(H16+C16)-'TAB1.0 Accomplshmnt by District'!G211</f>
        <v>0</v>
      </c>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row>
    <row r="17" spans="1:34" ht="13.2" x14ac:dyDescent="0.25">
      <c r="A17" s="166">
        <v>2014</v>
      </c>
      <c r="B17" s="169">
        <f>+'TAB1.0 Accomplshmnt by District'!E218</f>
        <v>0</v>
      </c>
      <c r="C17" s="179">
        <f>+'TAB1.0 Accomplshmnt by District'!G218</f>
        <v>6956.86</v>
      </c>
      <c r="D17" s="172">
        <f t="shared" si="0"/>
        <v>6956.86</v>
      </c>
      <c r="E17" s="175">
        <f>+'TAB1.0 Accomplshmnt by District'!J218</f>
        <v>0</v>
      </c>
      <c r="F17" s="182">
        <f>+'TAB1.0 Accomplshmnt by District'!L218</f>
        <v>2524725.08</v>
      </c>
      <c r="G17" s="176">
        <f t="shared" si="1"/>
        <v>2524725.08</v>
      </c>
      <c r="H17" s="190">
        <f>+'TAB1.0 Accomplshmnt by District'!G221-'TAB1.0 Accomplshmnt by District'!G218</f>
        <v>4006.3599999999997</v>
      </c>
      <c r="I17" s="191">
        <f>+'TAB1.0 Accomplshmnt by District'!L221-'TAB1.0 Accomplshmnt by District'!L218</f>
        <v>1503428.5300000003</v>
      </c>
      <c r="J17" s="218">
        <v>2014</v>
      </c>
      <c r="K17" s="219">
        <f>+(H17+C17)-'TAB1.0 Accomplshmnt by District'!G221</f>
        <v>0</v>
      </c>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row>
    <row r="18" spans="1:34" ht="13.8" thickBot="1" x14ac:dyDescent="0.3">
      <c r="A18" s="167">
        <v>2015</v>
      </c>
      <c r="B18" s="170">
        <f>+'TAB1.0 Accomplshmnt by District'!E228</f>
        <v>35</v>
      </c>
      <c r="C18" s="180">
        <f>+'TAB1.0 Accomplshmnt by District'!G228</f>
        <v>8254</v>
      </c>
      <c r="D18" s="688">
        <f t="shared" si="0"/>
        <v>8289</v>
      </c>
      <c r="E18" s="177">
        <f>+'TAB1.0 Accomplshmnt by District'!J228</f>
        <v>15832</v>
      </c>
      <c r="F18" s="183">
        <f>+'TAB1.0 Accomplshmnt by District'!L228</f>
        <v>3592161</v>
      </c>
      <c r="G18" s="689">
        <f t="shared" si="1"/>
        <v>3607993</v>
      </c>
      <c r="H18" s="192">
        <f>+'TAB1.0 Accomplshmnt by District'!G231-'TAB1.0 Accomplshmnt by District'!G228</f>
        <v>7019</v>
      </c>
      <c r="I18" s="193">
        <f>+'TAB1.0 Accomplshmnt by District'!L231-'TAB1.0 Accomplshmnt by District'!L228</f>
        <v>2368414</v>
      </c>
      <c r="J18" s="218">
        <v>2015</v>
      </c>
      <c r="K18" s="219">
        <f>+(H18+C18)-'TAB1.0 Accomplshmnt by District'!G231</f>
        <v>0</v>
      </c>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row>
    <row r="19" spans="1:34" x14ac:dyDescent="0.25">
      <c r="A19" s="194"/>
      <c r="B19" s="195"/>
      <c r="C19" s="195"/>
      <c r="D19" s="195"/>
      <c r="E19" s="195"/>
      <c r="F19" s="195"/>
      <c r="G19" s="195"/>
      <c r="H19" s="195"/>
      <c r="I19" s="195"/>
      <c r="J19" s="196"/>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row>
    <row r="20" spans="1:34" x14ac:dyDescent="0.25">
      <c r="A20" s="194"/>
      <c r="B20" s="195"/>
      <c r="C20" s="195"/>
      <c r="D20" s="195"/>
      <c r="E20" s="195"/>
      <c r="F20" s="195"/>
      <c r="G20" s="195"/>
      <c r="H20" s="195"/>
      <c r="I20" s="195"/>
      <c r="J20" s="196"/>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row>
    <row r="21" spans="1:34" x14ac:dyDescent="0.25">
      <c r="A21" s="194"/>
      <c r="B21" s="195"/>
      <c r="C21" s="195"/>
      <c r="D21" s="195"/>
      <c r="E21" s="195"/>
      <c r="F21" s="195"/>
      <c r="G21" s="195"/>
      <c r="H21" s="195"/>
      <c r="I21" s="195"/>
      <c r="J21" s="196"/>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row>
    <row r="22" spans="1:34" x14ac:dyDescent="0.25">
      <c r="A22" s="194"/>
      <c r="B22" s="195"/>
      <c r="C22" s="195"/>
      <c r="D22" s="195"/>
      <c r="E22" s="195"/>
      <c r="F22" s="195"/>
      <c r="G22" s="195"/>
      <c r="H22" s="195"/>
      <c r="I22" s="195"/>
      <c r="J22" s="196"/>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row>
    <row r="23" spans="1:34" x14ac:dyDescent="0.25">
      <c r="A23" s="194"/>
      <c r="B23" s="195"/>
      <c r="C23" s="195"/>
      <c r="D23" s="195"/>
      <c r="E23" s="195"/>
      <c r="F23" s="195"/>
      <c r="G23" s="195"/>
      <c r="H23" s="195"/>
      <c r="I23" s="195"/>
      <c r="J23" s="196"/>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row>
    <row r="24" spans="1:34" x14ac:dyDescent="0.25">
      <c r="A24" s="194"/>
      <c r="B24" s="195"/>
      <c r="C24" s="195"/>
      <c r="D24" s="195"/>
      <c r="E24" s="195"/>
      <c r="F24" s="195"/>
      <c r="G24" s="195"/>
      <c r="H24" s="195"/>
      <c r="I24" s="195"/>
      <c r="J24" s="196"/>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row>
    <row r="25" spans="1:34" x14ac:dyDescent="0.25">
      <c r="A25" s="194"/>
      <c r="B25" s="195"/>
      <c r="C25" s="195"/>
      <c r="D25" s="195"/>
      <c r="E25" s="195"/>
      <c r="F25" s="195"/>
      <c r="G25" s="195"/>
      <c r="H25" s="195"/>
      <c r="I25" s="195"/>
      <c r="J25" s="196"/>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row>
    <row r="26" spans="1:34" x14ac:dyDescent="0.25">
      <c r="A26" s="194"/>
      <c r="B26" s="195"/>
      <c r="C26" s="195"/>
      <c r="D26" s="195"/>
      <c r="E26" s="195"/>
      <c r="F26" s="195"/>
      <c r="G26" s="195"/>
      <c r="H26" s="195"/>
      <c r="I26" s="195"/>
      <c r="J26" s="196"/>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row>
    <row r="27" spans="1:34" x14ac:dyDescent="0.25">
      <c r="A27" s="194"/>
      <c r="B27" s="195"/>
      <c r="C27" s="195"/>
      <c r="D27" s="195"/>
      <c r="E27" s="195"/>
      <c r="F27" s="195"/>
      <c r="G27" s="195"/>
      <c r="H27" s="195"/>
      <c r="I27" s="195"/>
      <c r="J27" s="196"/>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row>
    <row r="28" spans="1:34" x14ac:dyDescent="0.25">
      <c r="A28" s="194"/>
      <c r="B28" s="195"/>
      <c r="C28" s="195"/>
      <c r="D28" s="195"/>
      <c r="E28" s="195"/>
      <c r="F28" s="195"/>
      <c r="G28" s="195"/>
      <c r="H28" s="195"/>
      <c r="I28" s="195"/>
      <c r="J28" s="196"/>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row>
    <row r="29" spans="1:34" x14ac:dyDescent="0.25">
      <c r="A29" s="194"/>
      <c r="B29" s="195"/>
      <c r="C29" s="195"/>
      <c r="D29" s="195"/>
      <c r="E29" s="195"/>
      <c r="F29" s="195"/>
      <c r="G29" s="195"/>
      <c r="H29" s="195"/>
      <c r="I29" s="195"/>
      <c r="J29" s="196"/>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row>
    <row r="30" spans="1:34" x14ac:dyDescent="0.25">
      <c r="A30" s="194"/>
      <c r="B30" s="195"/>
      <c r="C30" s="195"/>
      <c r="D30" s="195"/>
      <c r="E30" s="195"/>
      <c r="F30" s="195"/>
      <c r="G30" s="195"/>
      <c r="H30" s="195"/>
      <c r="I30" s="195"/>
      <c r="J30" s="196"/>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row>
    <row r="31" spans="1:34" x14ac:dyDescent="0.25">
      <c r="A31" s="194"/>
      <c r="B31" s="195"/>
      <c r="C31" s="195"/>
      <c r="D31" s="195"/>
      <c r="E31" s="195"/>
      <c r="F31" s="195"/>
      <c r="G31" s="195"/>
      <c r="H31" s="195"/>
      <c r="I31" s="195"/>
      <c r="J31" s="196"/>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row>
    <row r="32" spans="1:34" x14ac:dyDescent="0.25">
      <c r="A32" s="194"/>
      <c r="B32" s="195"/>
      <c r="C32" s="195"/>
      <c r="D32" s="195"/>
      <c r="E32" s="195"/>
      <c r="F32" s="195"/>
      <c r="G32" s="195"/>
      <c r="H32" s="195"/>
      <c r="I32" s="195"/>
      <c r="J32" s="196"/>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row>
    <row r="33" spans="1:34" x14ac:dyDescent="0.25">
      <c r="A33" s="194"/>
      <c r="B33" s="195"/>
      <c r="C33" s="195"/>
      <c r="D33" s="195"/>
      <c r="E33" s="195"/>
      <c r="F33" s="195"/>
      <c r="G33" s="195"/>
      <c r="H33" s="195"/>
      <c r="I33" s="195"/>
      <c r="J33" s="196"/>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4" x14ac:dyDescent="0.25">
      <c r="A34" s="194"/>
      <c r="B34" s="195"/>
      <c r="C34" s="195"/>
      <c r="D34" s="195"/>
      <c r="E34" s="195"/>
      <c r="F34" s="195"/>
      <c r="G34" s="195"/>
      <c r="H34" s="195"/>
      <c r="I34" s="195"/>
      <c r="J34" s="196"/>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row>
    <row r="35" spans="1:34" x14ac:dyDescent="0.25">
      <c r="A35" s="194"/>
      <c r="B35" s="195"/>
      <c r="C35" s="195"/>
      <c r="D35" s="195"/>
      <c r="E35" s="195"/>
      <c r="F35" s="195"/>
      <c r="G35" s="195"/>
      <c r="H35" s="195"/>
      <c r="I35" s="195"/>
      <c r="J35" s="196"/>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row>
    <row r="36" spans="1:34" x14ac:dyDescent="0.25">
      <c r="A36" s="194"/>
      <c r="B36" s="195"/>
      <c r="C36" s="195"/>
      <c r="D36" s="195"/>
      <c r="E36" s="195"/>
      <c r="F36" s="195"/>
      <c r="G36" s="195"/>
      <c r="H36" s="195"/>
      <c r="I36" s="195"/>
      <c r="J36" s="196"/>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row>
    <row r="37" spans="1:34" x14ac:dyDescent="0.25">
      <c r="A37" s="194"/>
      <c r="B37" s="195"/>
      <c r="C37" s="195"/>
      <c r="D37" s="195"/>
      <c r="E37" s="195"/>
      <c r="F37" s="195"/>
      <c r="G37" s="195"/>
      <c r="H37" s="195"/>
      <c r="I37" s="195"/>
      <c r="J37" s="196"/>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row>
    <row r="38" spans="1:34" x14ac:dyDescent="0.25">
      <c r="A38" s="194"/>
      <c r="B38" s="195"/>
      <c r="C38" s="195"/>
      <c r="D38" s="195"/>
      <c r="E38" s="195"/>
      <c r="F38" s="195"/>
      <c r="G38" s="195"/>
      <c r="H38" s="195"/>
      <c r="I38" s="195"/>
      <c r="J38" s="196"/>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row>
    <row r="39" spans="1:34" x14ac:dyDescent="0.25">
      <c r="A39" s="194"/>
      <c r="B39" s="195"/>
      <c r="C39" s="195"/>
      <c r="D39" s="195"/>
      <c r="E39" s="195"/>
      <c r="F39" s="195"/>
      <c r="G39" s="195"/>
      <c r="H39" s="195"/>
      <c r="I39" s="195"/>
      <c r="J39" s="196"/>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row>
    <row r="40" spans="1:34" x14ac:dyDescent="0.25">
      <c r="A40" s="194"/>
      <c r="B40" s="195"/>
      <c r="C40" s="195"/>
      <c r="D40" s="195"/>
      <c r="E40" s="195"/>
      <c r="F40" s="195"/>
      <c r="G40" s="195"/>
      <c r="H40" s="195"/>
      <c r="I40" s="195"/>
      <c r="J40" s="196"/>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row>
    <row r="41" spans="1:34" x14ac:dyDescent="0.25">
      <c r="A41" s="194"/>
      <c r="B41" s="195"/>
      <c r="C41" s="195"/>
      <c r="D41" s="195"/>
      <c r="E41" s="195"/>
      <c r="F41" s="195"/>
      <c r="G41" s="195"/>
      <c r="H41" s="195"/>
      <c r="I41" s="195"/>
      <c r="J41" s="196"/>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row>
    <row r="42" spans="1:34" x14ac:dyDescent="0.25">
      <c r="A42" s="194"/>
      <c r="B42" s="195"/>
      <c r="C42" s="195"/>
      <c r="D42" s="195"/>
      <c r="E42" s="195"/>
      <c r="F42" s="195"/>
      <c r="G42" s="195"/>
      <c r="H42" s="195"/>
      <c r="I42" s="195"/>
      <c r="J42" s="196"/>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row>
    <row r="43" spans="1:34" x14ac:dyDescent="0.25">
      <c r="A43" s="194"/>
      <c r="B43" s="195"/>
      <c r="C43" s="195"/>
      <c r="D43" s="195"/>
      <c r="E43" s="195"/>
      <c r="F43" s="195"/>
      <c r="G43" s="195"/>
      <c r="H43" s="195"/>
      <c r="I43" s="195"/>
      <c r="J43" s="196"/>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34" x14ac:dyDescent="0.25">
      <c r="A44" s="194"/>
      <c r="B44" s="195"/>
      <c r="C44" s="195"/>
      <c r="D44" s="195"/>
      <c r="E44" s="195"/>
      <c r="F44" s="195"/>
      <c r="G44" s="195"/>
      <c r="H44" s="195"/>
      <c r="I44" s="195"/>
      <c r="J44" s="196"/>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row>
    <row r="45" spans="1:34" x14ac:dyDescent="0.25">
      <c r="A45" s="194"/>
      <c r="B45" s="195"/>
      <c r="C45" s="195"/>
      <c r="D45" s="195"/>
      <c r="E45" s="195"/>
      <c r="F45" s="195"/>
      <c r="G45" s="195"/>
      <c r="H45" s="195"/>
      <c r="I45" s="195"/>
      <c r="J45" s="196"/>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1:34" x14ac:dyDescent="0.25">
      <c r="A46" s="194"/>
      <c r="B46" s="195"/>
      <c r="C46" s="195"/>
      <c r="D46" s="195"/>
      <c r="E46" s="195"/>
      <c r="F46" s="195"/>
      <c r="G46" s="195"/>
      <c r="H46" s="195"/>
      <c r="I46" s="195"/>
      <c r="J46" s="196"/>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row>
    <row r="47" spans="1:34" x14ac:dyDescent="0.25">
      <c r="A47" s="194"/>
      <c r="B47" s="195"/>
      <c r="C47" s="195"/>
      <c r="D47" s="195"/>
      <c r="E47" s="195"/>
      <c r="F47" s="195"/>
      <c r="G47" s="195"/>
      <c r="H47" s="195"/>
      <c r="I47" s="195"/>
      <c r="J47" s="196"/>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row>
    <row r="48" spans="1:34" x14ac:dyDescent="0.25">
      <c r="A48" s="194"/>
      <c r="B48" s="195"/>
      <c r="C48" s="195"/>
      <c r="D48" s="195"/>
      <c r="E48" s="195"/>
      <c r="F48" s="195"/>
      <c r="G48" s="195"/>
      <c r="H48" s="195"/>
      <c r="I48" s="195"/>
      <c r="J48" s="196"/>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4" x14ac:dyDescent="0.25">
      <c r="A49" s="194"/>
      <c r="B49" s="195"/>
      <c r="C49" s="195"/>
      <c r="D49" s="195"/>
      <c r="E49" s="195"/>
      <c r="F49" s="195"/>
      <c r="G49" s="195"/>
      <c r="H49" s="195"/>
      <c r="I49" s="195"/>
      <c r="J49" s="196"/>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row>
    <row r="50" spans="1:34" x14ac:dyDescent="0.25">
      <c r="A50" s="194"/>
      <c r="B50" s="195"/>
      <c r="C50" s="195"/>
      <c r="D50" s="195"/>
      <c r="E50" s="195"/>
      <c r="F50" s="195"/>
      <c r="G50" s="195"/>
      <c r="H50" s="195"/>
      <c r="I50" s="195"/>
      <c r="J50" s="196"/>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row>
    <row r="51" spans="1:34" x14ac:dyDescent="0.25">
      <c r="A51" s="194"/>
      <c r="B51" s="195"/>
      <c r="C51" s="195"/>
      <c r="D51" s="195"/>
      <c r="E51" s="195"/>
      <c r="F51" s="195"/>
      <c r="G51" s="195"/>
      <c r="H51" s="195"/>
      <c r="I51" s="195"/>
      <c r="J51" s="196"/>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row>
    <row r="52" spans="1:34" x14ac:dyDescent="0.25">
      <c r="A52" s="194"/>
      <c r="B52" s="195"/>
      <c r="C52" s="195"/>
      <c r="D52" s="195"/>
      <c r="E52" s="195"/>
      <c r="F52" s="195"/>
      <c r="G52" s="195"/>
      <c r="H52" s="195"/>
      <c r="I52" s="195"/>
      <c r="J52" s="196"/>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row>
    <row r="53" spans="1:34" x14ac:dyDescent="0.25">
      <c r="A53" s="194"/>
      <c r="B53" s="195"/>
      <c r="C53" s="195"/>
      <c r="D53" s="195"/>
      <c r="E53" s="195"/>
      <c r="F53" s="195"/>
      <c r="G53" s="195"/>
      <c r="H53" s="195"/>
      <c r="I53" s="195"/>
      <c r="J53" s="196"/>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row>
    <row r="54" spans="1:34" x14ac:dyDescent="0.25">
      <c r="A54" s="194"/>
      <c r="B54" s="195"/>
      <c r="C54" s="195"/>
      <c r="D54" s="195"/>
      <c r="E54" s="195"/>
      <c r="F54" s="195"/>
      <c r="G54" s="195"/>
      <c r="H54" s="195"/>
      <c r="I54" s="195"/>
      <c r="J54" s="196"/>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row>
    <row r="55" spans="1:34" x14ac:dyDescent="0.25">
      <c r="A55" s="194"/>
      <c r="B55" s="195"/>
      <c r="C55" s="195"/>
      <c r="D55" s="195"/>
      <c r="E55" s="195"/>
      <c r="F55" s="195"/>
      <c r="G55" s="195"/>
      <c r="H55" s="195"/>
      <c r="I55" s="195"/>
      <c r="J55" s="196"/>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row>
    <row r="56" spans="1:34" x14ac:dyDescent="0.25">
      <c r="A56" s="194"/>
      <c r="B56" s="195"/>
      <c r="C56" s="195"/>
      <c r="D56" s="195"/>
      <c r="E56" s="195"/>
      <c r="F56" s="195"/>
      <c r="G56" s="195"/>
      <c r="H56" s="195"/>
      <c r="I56" s="195"/>
      <c r="J56" s="196"/>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row>
    <row r="57" spans="1:34" x14ac:dyDescent="0.25">
      <c r="A57" s="194"/>
      <c r="B57" s="195"/>
      <c r="C57" s="195"/>
      <c r="D57" s="195"/>
      <c r="E57" s="195"/>
      <c r="F57" s="195"/>
      <c r="G57" s="195"/>
      <c r="H57" s="195"/>
      <c r="I57" s="195"/>
      <c r="J57" s="196"/>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row>
    <row r="58" spans="1:34" x14ac:dyDescent="0.25">
      <c r="A58" s="194"/>
      <c r="B58" s="195"/>
      <c r="C58" s="195"/>
      <c r="D58" s="195"/>
      <c r="E58" s="195"/>
      <c r="F58" s="195"/>
      <c r="G58" s="195"/>
      <c r="H58" s="195"/>
      <c r="I58" s="195"/>
      <c r="J58" s="196"/>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row>
    <row r="59" spans="1:34" x14ac:dyDescent="0.25">
      <c r="A59" s="194"/>
      <c r="B59" s="195"/>
      <c r="C59" s="195"/>
      <c r="D59" s="195"/>
      <c r="E59" s="195"/>
      <c r="F59" s="195"/>
      <c r="G59" s="195"/>
      <c r="H59" s="195"/>
      <c r="I59" s="195"/>
      <c r="J59" s="196"/>
      <c r="K59" s="195"/>
      <c r="L59" s="195"/>
    </row>
    <row r="60" spans="1:34" x14ac:dyDescent="0.25">
      <c r="A60" s="194"/>
      <c r="B60" s="195"/>
      <c r="C60" s="195"/>
      <c r="D60" s="195"/>
      <c r="E60" s="195"/>
      <c r="F60" s="195"/>
      <c r="G60" s="195"/>
      <c r="H60" s="195"/>
      <c r="I60" s="195"/>
      <c r="J60" s="196"/>
      <c r="K60" s="195"/>
      <c r="L60" s="195"/>
    </row>
    <row r="61" spans="1:34" x14ac:dyDescent="0.25">
      <c r="A61" s="194"/>
      <c r="B61" s="195"/>
      <c r="C61" s="195"/>
      <c r="D61" s="195"/>
      <c r="E61" s="195"/>
      <c r="F61" s="195"/>
      <c r="G61" s="195"/>
      <c r="H61" s="195"/>
      <c r="I61" s="195"/>
      <c r="J61" s="196"/>
      <c r="K61" s="195"/>
      <c r="L61" s="195"/>
    </row>
    <row r="62" spans="1:34" x14ac:dyDescent="0.25">
      <c r="A62" s="194"/>
      <c r="B62" s="195"/>
      <c r="C62" s="195"/>
      <c r="D62" s="195"/>
      <c r="E62" s="195"/>
      <c r="F62" s="195"/>
      <c r="G62" s="195"/>
      <c r="H62" s="195"/>
      <c r="I62" s="195"/>
      <c r="J62" s="196"/>
      <c r="K62" s="195"/>
      <c r="L62" s="195"/>
    </row>
    <row r="63" spans="1:34" x14ac:dyDescent="0.25">
      <c r="A63" s="194"/>
      <c r="B63" s="195"/>
      <c r="C63" s="195"/>
      <c r="D63" s="195"/>
      <c r="E63" s="195"/>
      <c r="F63" s="195"/>
      <c r="G63" s="195"/>
      <c r="H63" s="195"/>
      <c r="I63" s="195"/>
      <c r="J63" s="196"/>
      <c r="K63" s="195"/>
      <c r="L63" s="195"/>
    </row>
    <row r="64" spans="1:34" x14ac:dyDescent="0.25">
      <c r="A64" s="194"/>
      <c r="B64" s="195"/>
      <c r="C64" s="195"/>
      <c r="D64" s="195"/>
      <c r="E64" s="195"/>
      <c r="F64" s="195"/>
      <c r="G64" s="195"/>
      <c r="H64" s="195"/>
      <c r="I64" s="195"/>
      <c r="J64" s="196"/>
      <c r="K64" s="195"/>
      <c r="L64" s="195"/>
    </row>
  </sheetData>
  <mergeCells count="2">
    <mergeCell ref="B1:G1"/>
    <mergeCell ref="H1:I1"/>
  </mergeCells>
  <hyperlinks>
    <hyperlink ref="A1" location="'Index &amp; Instructions'!A1" display="HOME"/>
  </hyperlinks>
  <pageMargins left="0.54" right="0.18" top="0.48" bottom="0.44" header="0.3" footer="0.17"/>
  <pageSetup scale="85" orientation="landscape" r:id="rId1"/>
  <headerFooter>
    <oddFooter>&amp;L&amp;F&amp;R&amp;A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workbookViewId="0"/>
  </sheetViews>
  <sheetFormatPr defaultRowHeight="12.6" x14ac:dyDescent="0.25"/>
  <cols>
    <col min="2" max="2" width="9" bestFit="1" customWidth="1"/>
    <col min="3" max="3" width="11.109375" bestFit="1" customWidth="1"/>
    <col min="5" max="5" width="15.77734375" customWidth="1"/>
    <col min="6" max="7" width="12.44140625" bestFit="1" customWidth="1"/>
    <col min="8" max="11" width="13.44140625" bestFit="1" customWidth="1"/>
    <col min="12" max="12" width="12.44140625" bestFit="1" customWidth="1"/>
    <col min="13" max="15" width="13.44140625" bestFit="1" customWidth="1"/>
    <col min="16" max="16" width="12.44140625" bestFit="1" customWidth="1"/>
    <col min="17" max="18" width="13.44140625" bestFit="1" customWidth="1"/>
    <col min="19" max="20" width="12.44140625" bestFit="1" customWidth="1"/>
    <col min="21" max="21" width="10.5546875" customWidth="1"/>
  </cols>
  <sheetData>
    <row r="1" spans="1:35" ht="13.2" x14ac:dyDescent="0.25">
      <c r="A1" s="852" t="s">
        <v>532</v>
      </c>
      <c r="B1" s="1"/>
      <c r="C1" s="1"/>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5" ht="60" x14ac:dyDescent="0.25">
      <c r="A2" s="105" t="s">
        <v>14</v>
      </c>
      <c r="B2" s="163" t="s">
        <v>268</v>
      </c>
      <c r="C2" s="120" t="s">
        <v>267</v>
      </c>
      <c r="E2" s="221" t="s">
        <v>14</v>
      </c>
      <c r="F2" s="222" t="s">
        <v>283</v>
      </c>
      <c r="G2" s="222" t="s">
        <v>284</v>
      </c>
      <c r="H2" s="222" t="s">
        <v>285</v>
      </c>
      <c r="I2" s="222" t="s">
        <v>286</v>
      </c>
      <c r="J2" s="222" t="s">
        <v>287</v>
      </c>
      <c r="K2" s="222" t="s">
        <v>288</v>
      </c>
      <c r="L2" s="222" t="s">
        <v>289</v>
      </c>
      <c r="M2" s="222" t="s">
        <v>290</v>
      </c>
      <c r="N2" s="222" t="s">
        <v>291</v>
      </c>
      <c r="O2" s="222" t="s">
        <v>292</v>
      </c>
      <c r="P2" s="222" t="s">
        <v>293</v>
      </c>
      <c r="Q2" s="222" t="s">
        <v>294</v>
      </c>
      <c r="R2" s="222" t="s">
        <v>295</v>
      </c>
      <c r="S2" s="222" t="s">
        <v>296</v>
      </c>
      <c r="T2" s="222" t="s">
        <v>297</v>
      </c>
      <c r="U2" s="222" t="s">
        <v>298</v>
      </c>
    </row>
    <row r="3" spans="1:35" ht="13.2" x14ac:dyDescent="0.25">
      <c r="A3" s="210" t="s">
        <v>198</v>
      </c>
      <c r="B3" s="206">
        <f>+'1.5_CSL_VolVal'!$C$3</f>
        <v>40852.410000000003</v>
      </c>
      <c r="C3" s="202">
        <v>20727140.879999999</v>
      </c>
      <c r="E3" s="122" t="s">
        <v>270</v>
      </c>
      <c r="F3" s="65">
        <f>+B3</f>
        <v>40852.410000000003</v>
      </c>
      <c r="G3" s="65">
        <f>+'1.5_CSL_VolVal'!$C$4</f>
        <v>31350.34</v>
      </c>
      <c r="H3" s="65">
        <f>+'1.5_CSL_VolVal'!$C$5</f>
        <v>25347.51</v>
      </c>
      <c r="I3" s="65">
        <f>+'1.5_CSL_VolVal'!$C$6</f>
        <v>17923</v>
      </c>
      <c r="J3" s="65">
        <f>+'1.5_CSL_VolVal'!$C$7</f>
        <v>27816.34</v>
      </c>
      <c r="K3" s="65">
        <f>+'1.5_CSL_VolVal'!$C$8</f>
        <v>32942.76</v>
      </c>
      <c r="L3" s="65">
        <f>+'1.5_CSL_VolVal'!$C$9</f>
        <v>11079.18</v>
      </c>
      <c r="M3" s="65">
        <f>+'1.5_CSL_VolVal'!$C$10</f>
        <v>20405.330000000002</v>
      </c>
      <c r="N3" s="65">
        <f>+'1.5_CSL_VolVal'!$C$11</f>
        <v>14637.47</v>
      </c>
      <c r="O3" s="65">
        <f>+'1.5_CSL_VolVal'!C12</f>
        <v>18742.32</v>
      </c>
      <c r="P3" s="65">
        <f>+'1.5_CSL_VolVal'!C13</f>
        <v>16044.71</v>
      </c>
      <c r="Q3" s="65">
        <f>+'1.5_CSL_VolVal'!C14</f>
        <v>27873</v>
      </c>
      <c r="R3" s="65">
        <f>+'1.5_CSL_VolVal'!C15</f>
        <v>28539.93</v>
      </c>
      <c r="S3" s="65">
        <f>+'1.5_CSL_VolVal'!C16</f>
        <v>4514.2700000000004</v>
      </c>
      <c r="T3" s="65">
        <f>+'1.5_CSL_VolVal'!C17</f>
        <v>6956.86</v>
      </c>
      <c r="U3" s="229">
        <f>+'1.5_CSL_VolVal'!C18</f>
        <v>8254</v>
      </c>
      <c r="V3" s="46"/>
      <c r="W3" s="46"/>
      <c r="X3" s="46"/>
      <c r="Y3" s="46"/>
      <c r="Z3" s="46"/>
      <c r="AA3" s="46"/>
      <c r="AB3" s="46"/>
      <c r="AC3" s="46"/>
      <c r="AD3" s="46"/>
      <c r="AE3" s="46"/>
      <c r="AF3" s="46"/>
      <c r="AG3" s="46"/>
      <c r="AH3" s="46"/>
      <c r="AI3" s="46"/>
    </row>
    <row r="4" spans="1:35" ht="13.2" x14ac:dyDescent="0.25">
      <c r="A4" s="211" t="s">
        <v>198</v>
      </c>
      <c r="B4" s="207">
        <f>+'1.5_CSL_VolVal'!$H$3</f>
        <v>8862.3000000000029</v>
      </c>
      <c r="C4" s="203">
        <v>3671780.0599999987</v>
      </c>
      <c r="E4" s="122" t="s">
        <v>269</v>
      </c>
      <c r="F4" s="225">
        <f>+B4</f>
        <v>8862.3000000000029</v>
      </c>
      <c r="G4" s="225">
        <f>+'1.5_CSL_VolVal'!$H$4</f>
        <v>4276.2800000000025</v>
      </c>
      <c r="H4" s="225">
        <f>+'1.5_CSL_VolVal'!$H$5</f>
        <v>4209.2599999999984</v>
      </c>
      <c r="I4" s="225">
        <f>+'1.5_CSL_VolVal'!$H$6</f>
        <v>6367.1500000000015</v>
      </c>
      <c r="J4" s="225">
        <f>+'1.5_CSL_VolVal'!$H$7</f>
        <v>4606.91</v>
      </c>
      <c r="K4" s="225">
        <f>+'1.5_CSL_VolVal'!$H$8</f>
        <v>9163.6199999999953</v>
      </c>
      <c r="L4" s="225">
        <f>+'1.5_CSL_VolVal'!$H$9</f>
        <v>6753.68</v>
      </c>
      <c r="M4" s="225">
        <f>+'1.5_CSL_VolVal'!$H$10</f>
        <v>6678.27</v>
      </c>
      <c r="N4" s="225">
        <f>+'1.5_CSL_VolVal'!$H$11</f>
        <v>8336.56</v>
      </c>
      <c r="O4" s="225">
        <f>+'1.5_CSL_VolVal'!H12</f>
        <v>10545.29</v>
      </c>
      <c r="P4" s="225">
        <f>+'1.5_CSL_VolVal'!H13</f>
        <v>8766.7999999999993</v>
      </c>
      <c r="Q4" s="225">
        <f>+'1.5_CSL_VolVal'!H14</f>
        <v>4242.8499999999985</v>
      </c>
      <c r="R4" s="225">
        <f>+'1.5_CSL_VolVal'!H15</f>
        <v>3710.0400000000009</v>
      </c>
      <c r="S4" s="225">
        <f>+'1.5_CSL_VolVal'!H16</f>
        <v>6561.9700000000012</v>
      </c>
      <c r="T4" s="225">
        <f>+'1.5_CSL_VolVal'!H17</f>
        <v>4006.3599999999997</v>
      </c>
      <c r="U4" s="230">
        <f>+'1.5_CSL_VolVal'!H18</f>
        <v>7019</v>
      </c>
    </row>
    <row r="5" spans="1:35" ht="13.2" x14ac:dyDescent="0.25">
      <c r="A5" s="212" t="s">
        <v>146</v>
      </c>
      <c r="B5" s="208">
        <f>+'1.5_CSL_VolVal'!$C$4</f>
        <v>31350.34</v>
      </c>
      <c r="C5" s="204">
        <v>17117533.879999999</v>
      </c>
      <c r="E5" s="122" t="s">
        <v>270</v>
      </c>
      <c r="F5" s="220">
        <f>+C3</f>
        <v>20727140.879999999</v>
      </c>
      <c r="G5" s="220">
        <f>+'1.5_CSL_VolVal'!$F$4</f>
        <v>17117533.879999999</v>
      </c>
      <c r="H5" s="220">
        <f>+'1.5_CSL_VolVal'!$F$5</f>
        <v>12494524.9</v>
      </c>
      <c r="I5" s="220">
        <f>+'1.5_CSL_VolVal'!$F$6</f>
        <v>8559888.9399999995</v>
      </c>
      <c r="J5" s="220">
        <f>+'1.5_CSL_VolVal'!$F$7</f>
        <v>12830294.880000001</v>
      </c>
      <c r="K5" s="220">
        <f>+'1.5_CSL_VolVal'!$F$8</f>
        <v>18143239.010000002</v>
      </c>
      <c r="L5" s="220">
        <f>+'1.5_CSL_VolVal'!$F$9</f>
        <v>5970215.5999999996</v>
      </c>
      <c r="M5" s="220">
        <f>+'1.5_CSL_VolVal'!$F$10</f>
        <v>10723012.59</v>
      </c>
      <c r="N5" s="220">
        <f>+'1.5_CSL_VolVal'!$F$11</f>
        <v>8664937</v>
      </c>
      <c r="O5" s="220">
        <f>+'1.5_CSL_VolVal'!F12</f>
        <v>8676962.4600000009</v>
      </c>
      <c r="P5" s="220">
        <f>+'1.5_CSL_VolVal'!F13</f>
        <v>6394983.7599999998</v>
      </c>
      <c r="Q5" s="220">
        <f>+'1.5_CSL_VolVal'!F14</f>
        <v>10650015</v>
      </c>
      <c r="R5" s="220">
        <f>+'1.5_CSL_VolVal'!F15</f>
        <v>10939549.85</v>
      </c>
      <c r="S5" s="220">
        <f>+'1.5_CSL_VolVal'!F16</f>
        <v>1672545.78</v>
      </c>
      <c r="T5" s="220">
        <f>+'1.5_CSL_VolVal'!F17</f>
        <v>2524725.08</v>
      </c>
      <c r="U5" s="231">
        <f>+'1.5_CSL_VolVal'!F18</f>
        <v>3592161</v>
      </c>
      <c r="V5" s="108"/>
      <c r="W5" s="108"/>
      <c r="X5" s="108"/>
      <c r="Y5" s="108"/>
    </row>
    <row r="6" spans="1:35" ht="13.8" thickBot="1" x14ac:dyDescent="0.3">
      <c r="A6" s="213" t="s">
        <v>146</v>
      </c>
      <c r="B6" s="209">
        <f>+'1.5_CSL_VolVal'!$H$4</f>
        <v>4276.2800000000025</v>
      </c>
      <c r="C6" s="205">
        <v>1720331.3300000019</v>
      </c>
      <c r="E6" s="122" t="s">
        <v>269</v>
      </c>
      <c r="F6" s="8">
        <f>+C4</f>
        <v>3671780.0599999987</v>
      </c>
      <c r="G6" s="8">
        <f>+'1.5_CSL_VolVal'!$I$4</f>
        <v>1720331.3300000019</v>
      </c>
      <c r="H6" s="8">
        <f>+'1.5_CSL_VolVal'!$I$5</f>
        <v>1548592.2799999993</v>
      </c>
      <c r="I6" s="8">
        <f>+'1.5_CSL_VolVal'!$I$6</f>
        <v>2429069.4900000002</v>
      </c>
      <c r="J6" s="8">
        <f>+'1.5_CSL_VolVal'!$I$7</f>
        <v>1386123.4800000004</v>
      </c>
      <c r="K6" s="8">
        <f>+'1.5_CSL_VolVal'!$I$8</f>
        <v>1936933.3699999973</v>
      </c>
      <c r="L6" s="8">
        <f>+'1.5_CSL_VolVal'!$I$9</f>
        <v>1639442.13</v>
      </c>
      <c r="M6" s="8">
        <f>+'1.5_CSL_VolVal'!$I$10</f>
        <v>2037978.9600000009</v>
      </c>
      <c r="N6" s="8">
        <f>+'1.5_CSL_VolVal'!$I$11</f>
        <v>3323958.34</v>
      </c>
      <c r="O6" s="8">
        <f>+'1.5_CSL_VolVal'!I12</f>
        <v>3742821.34</v>
      </c>
      <c r="P6" s="8">
        <f>+'1.5_CSL_VolVal'!I13</f>
        <v>1827014.0200000005</v>
      </c>
      <c r="Q6" s="8">
        <f>+'1.5_CSL_VolVal'!I14</f>
        <v>919889.02999999933</v>
      </c>
      <c r="R6" s="8">
        <f>+'1.5_CSL_VolVal'!I15</f>
        <v>1064930.8899999987</v>
      </c>
      <c r="S6" s="8">
        <f>+'1.5_CSL_VolVal'!I16</f>
        <v>1926484.0000000002</v>
      </c>
      <c r="T6" s="8">
        <f>+'1.5_CSL_VolVal'!I17</f>
        <v>1503428.5300000003</v>
      </c>
      <c r="U6" s="232">
        <f>+'1.5_CSL_VolVal'!I18</f>
        <v>2368414</v>
      </c>
      <c r="V6" s="108"/>
      <c r="W6" s="108"/>
      <c r="X6" s="108"/>
      <c r="Y6" s="108"/>
    </row>
    <row r="7" spans="1:35" ht="15.6" customHeight="1" thickTop="1" x14ac:dyDescent="0.25">
      <c r="A7" s="210" t="s">
        <v>60</v>
      </c>
      <c r="B7" s="206">
        <f>+'1.5_CSL_VolVal'!$C$5</f>
        <v>25347.51</v>
      </c>
      <c r="C7" s="202">
        <f>+'1.5_CSL_VolVal'!$C$5</f>
        <v>25347.51</v>
      </c>
      <c r="E7" s="122" t="s">
        <v>271</v>
      </c>
      <c r="F7" s="223">
        <f>SUM(F5:F6)</f>
        <v>24398920.939999998</v>
      </c>
      <c r="G7" s="224">
        <f>SUM(G5:G6)</f>
        <v>18837865.210000001</v>
      </c>
      <c r="H7" s="224">
        <f t="shared" ref="H7:U7" si="0">SUM(H5:H6)</f>
        <v>14043117.18</v>
      </c>
      <c r="I7" s="224">
        <f t="shared" si="0"/>
        <v>10988958.43</v>
      </c>
      <c r="J7" s="224">
        <f t="shared" si="0"/>
        <v>14216418.360000001</v>
      </c>
      <c r="K7" s="224">
        <f t="shared" si="0"/>
        <v>20080172.379999999</v>
      </c>
      <c r="L7" s="224">
        <f t="shared" si="0"/>
        <v>7609657.7299999995</v>
      </c>
      <c r="M7" s="224">
        <f t="shared" si="0"/>
        <v>12760991.550000001</v>
      </c>
      <c r="N7" s="224">
        <f t="shared" si="0"/>
        <v>11988895.34</v>
      </c>
      <c r="O7" s="224">
        <f t="shared" si="0"/>
        <v>12419783.800000001</v>
      </c>
      <c r="P7" s="224">
        <f t="shared" si="0"/>
        <v>8221997.7800000003</v>
      </c>
      <c r="Q7" s="224">
        <f t="shared" si="0"/>
        <v>11569904.029999999</v>
      </c>
      <c r="R7" s="224">
        <f t="shared" si="0"/>
        <v>12004480.739999998</v>
      </c>
      <c r="S7" s="224">
        <f t="shared" si="0"/>
        <v>3599029.7800000003</v>
      </c>
      <c r="T7" s="224">
        <f t="shared" si="0"/>
        <v>4028153.6100000003</v>
      </c>
      <c r="U7" s="233">
        <f t="shared" si="0"/>
        <v>5960575</v>
      </c>
      <c r="V7" s="123"/>
      <c r="W7" s="123"/>
      <c r="X7" s="123"/>
      <c r="Y7" s="108"/>
    </row>
    <row r="8" spans="1:35" ht="13.2" x14ac:dyDescent="0.25">
      <c r="A8" s="211" t="s">
        <v>60</v>
      </c>
      <c r="B8" s="207">
        <f>+'1.5_CSL_VolVal'!$H$5</f>
        <v>4209.2599999999984</v>
      </c>
      <c r="C8" s="203">
        <f>+'1.5_CSL_VolVal'!$H$5</f>
        <v>4209.2599999999984</v>
      </c>
      <c r="E8" s="106"/>
      <c r="F8" s="66"/>
    </row>
    <row r="9" spans="1:35" ht="13.2" x14ac:dyDescent="0.25">
      <c r="A9" s="212" t="s">
        <v>63</v>
      </c>
      <c r="B9" s="208">
        <f>+'1.5_CSL_VolVal'!$C$6</f>
        <v>17923</v>
      </c>
      <c r="C9" s="204">
        <f>+'1.5_CSL_VolVal'!$C$6</f>
        <v>17923</v>
      </c>
      <c r="E9" s="106"/>
      <c r="F9" s="66"/>
    </row>
    <row r="10" spans="1:35" ht="13.2" x14ac:dyDescent="0.25">
      <c r="A10" s="213" t="s">
        <v>63</v>
      </c>
      <c r="B10" s="209">
        <f>+'1.5_CSL_VolVal'!$H$6</f>
        <v>6367.1500000000015</v>
      </c>
      <c r="C10" s="205">
        <f>+'1.5_CSL_VolVal'!$H$6</f>
        <v>6367.1500000000015</v>
      </c>
      <c r="E10" s="106"/>
      <c r="F10" s="66"/>
    </row>
    <row r="11" spans="1:35" ht="13.2" x14ac:dyDescent="0.25">
      <c r="A11" s="210" t="s">
        <v>36</v>
      </c>
      <c r="B11" s="206">
        <f>+'1.5_CSL_VolVal'!$C$7</f>
        <v>27816.34</v>
      </c>
      <c r="C11" s="202">
        <f>+'1.5_CSL_VolVal'!$C$7</f>
        <v>27816.34</v>
      </c>
      <c r="E11" s="106"/>
      <c r="F11" s="66"/>
    </row>
    <row r="12" spans="1:35" ht="13.2" x14ac:dyDescent="0.25">
      <c r="A12" s="211" t="s">
        <v>36</v>
      </c>
      <c r="B12" s="207">
        <f>+'1.5_CSL_VolVal'!$H$7</f>
        <v>4606.91</v>
      </c>
      <c r="C12" s="203">
        <f>+'1.5_CSL_VolVal'!$H$7</f>
        <v>4606.91</v>
      </c>
      <c r="E12" s="106"/>
      <c r="F12" s="66"/>
    </row>
    <row r="13" spans="1:35" ht="13.2" x14ac:dyDescent="0.25">
      <c r="A13" s="212" t="s">
        <v>37</v>
      </c>
      <c r="B13" s="208">
        <f>+'1.5_CSL_VolVal'!$C$8</f>
        <v>32942.76</v>
      </c>
      <c r="C13" s="204">
        <f>+'1.5_CSL_VolVal'!$C$8</f>
        <v>32942.76</v>
      </c>
      <c r="E13" s="106"/>
      <c r="F13" s="66"/>
    </row>
    <row r="14" spans="1:35" ht="13.2" x14ac:dyDescent="0.25">
      <c r="A14" s="213" t="s">
        <v>37</v>
      </c>
      <c r="B14" s="209">
        <f>+'1.5_CSL_VolVal'!$H$8</f>
        <v>9163.6199999999953</v>
      </c>
      <c r="C14" s="205">
        <f>+'1.5_CSL_VolVal'!$H$8</f>
        <v>9163.6199999999953</v>
      </c>
      <c r="E14" s="106"/>
      <c r="F14" s="66"/>
    </row>
    <row r="15" spans="1:35" ht="13.2" x14ac:dyDescent="0.25">
      <c r="A15" s="210" t="s">
        <v>68</v>
      </c>
      <c r="B15" s="206">
        <f>+'1.5_CSL_VolVal'!$C$9</f>
        <v>11079.18</v>
      </c>
      <c r="C15" s="202">
        <f>+'1.5_CSL_VolVal'!$C$9</f>
        <v>11079.18</v>
      </c>
      <c r="E15" s="106"/>
      <c r="F15" s="66"/>
    </row>
    <row r="16" spans="1:35" ht="13.2" x14ac:dyDescent="0.25">
      <c r="A16" s="211" t="s">
        <v>68</v>
      </c>
      <c r="B16" s="207">
        <f>+'1.5_CSL_VolVal'!$H$9</f>
        <v>6753.68</v>
      </c>
      <c r="C16" s="203">
        <f>+'1.5_CSL_VolVal'!$H$9</f>
        <v>6753.68</v>
      </c>
      <c r="E16" s="106"/>
      <c r="F16" s="66"/>
    </row>
    <row r="17" spans="1:6" ht="13.2" x14ac:dyDescent="0.25">
      <c r="A17" s="212" t="s">
        <v>148</v>
      </c>
      <c r="B17" s="208">
        <f>+'1.5_CSL_VolVal'!$C$10</f>
        <v>20405.330000000002</v>
      </c>
      <c r="C17" s="204">
        <f>+'1.5_CSL_VolVal'!$C$10</f>
        <v>20405.330000000002</v>
      </c>
      <c r="E17" s="106"/>
      <c r="F17" s="66"/>
    </row>
    <row r="18" spans="1:6" ht="13.2" x14ac:dyDescent="0.25">
      <c r="A18" s="213" t="s">
        <v>148</v>
      </c>
      <c r="B18" s="209">
        <f>+'1.5_CSL_VolVal'!$H$10</f>
        <v>6678.27</v>
      </c>
      <c r="C18" s="205">
        <f>+'1.5_CSL_VolVal'!$H$10</f>
        <v>6678.27</v>
      </c>
      <c r="E18" s="106"/>
      <c r="F18" s="66"/>
    </row>
    <row r="19" spans="1:6" ht="13.2" x14ac:dyDescent="0.25">
      <c r="A19" s="210" t="s">
        <v>69</v>
      </c>
      <c r="B19" s="206">
        <f>+'1.5_CSL_VolVal'!$C$11</f>
        <v>14637.47</v>
      </c>
      <c r="C19" s="202">
        <f>+'1.5_CSL_VolVal'!$C$11</f>
        <v>14637.47</v>
      </c>
      <c r="E19" s="106"/>
      <c r="F19" s="66"/>
    </row>
    <row r="20" spans="1:6" ht="13.2" x14ac:dyDescent="0.25">
      <c r="A20" s="211" t="s">
        <v>69</v>
      </c>
      <c r="B20" s="207">
        <f>+'1.5_CSL_VolVal'!$H$11</f>
        <v>8336.56</v>
      </c>
      <c r="C20" s="203">
        <f>+'1.5_CSL_VolVal'!$H$11</f>
        <v>8336.56</v>
      </c>
      <c r="E20" s="106"/>
      <c r="F20" s="66"/>
    </row>
    <row r="21" spans="1:6" ht="13.2" x14ac:dyDescent="0.25">
      <c r="A21" s="212" t="s">
        <v>150</v>
      </c>
      <c r="B21" s="208">
        <f>+'1.5_CSL_VolVal'!$C$12</f>
        <v>18742.32</v>
      </c>
      <c r="C21" s="204">
        <f>+'1.5_CSL_VolVal'!$C$12</f>
        <v>18742.32</v>
      </c>
      <c r="E21" s="106"/>
      <c r="F21" s="66"/>
    </row>
    <row r="22" spans="1:6" ht="13.2" x14ac:dyDescent="0.25">
      <c r="A22" s="213" t="s">
        <v>150</v>
      </c>
      <c r="B22" s="209">
        <f>+'1.5_CSL_VolVal'!$H$12</f>
        <v>10545.29</v>
      </c>
      <c r="C22" s="205">
        <f>+'1.5_CSL_VolVal'!$H$12</f>
        <v>10545.29</v>
      </c>
      <c r="E22" s="106"/>
      <c r="F22" s="66"/>
    </row>
    <row r="23" spans="1:6" ht="13.2" x14ac:dyDescent="0.25">
      <c r="A23" s="210" t="s">
        <v>67</v>
      </c>
      <c r="B23" s="206">
        <f>+'1.5_CSL_VolVal'!$C$13</f>
        <v>16044.71</v>
      </c>
      <c r="C23" s="202">
        <f>+'1.5_CSL_VolVal'!$C$13</f>
        <v>16044.71</v>
      </c>
      <c r="E23" s="106"/>
    </row>
    <row r="24" spans="1:6" ht="13.2" x14ac:dyDescent="0.25">
      <c r="A24" s="211" t="s">
        <v>67</v>
      </c>
      <c r="B24" s="207">
        <f>+'1.5_CSL_VolVal'!$H$13</f>
        <v>8766.7999999999993</v>
      </c>
      <c r="C24" s="203">
        <f>+'1.5_CSL_VolVal'!$H$13</f>
        <v>8766.7999999999993</v>
      </c>
      <c r="E24" s="106"/>
    </row>
    <row r="25" spans="1:6" ht="13.2" x14ac:dyDescent="0.25">
      <c r="A25" s="212" t="s">
        <v>199</v>
      </c>
      <c r="B25" s="208">
        <f>+'1.5_CSL_VolVal'!$C$14</f>
        <v>27873</v>
      </c>
      <c r="C25" s="204">
        <f>+'1.5_CSL_VolVal'!$C$14</f>
        <v>27873</v>
      </c>
      <c r="E25" s="106"/>
    </row>
    <row r="26" spans="1:6" ht="13.2" x14ac:dyDescent="0.25">
      <c r="A26" s="213" t="s">
        <v>199</v>
      </c>
      <c r="B26" s="209">
        <f>+'1.5_CSL_VolVal'!$H$14</f>
        <v>4242.8499999999985</v>
      </c>
      <c r="C26" s="205">
        <f>+'1.5_CSL_VolVal'!$H$14</f>
        <v>4242.8499999999985</v>
      </c>
      <c r="E26" s="106"/>
    </row>
    <row r="27" spans="1:6" ht="13.2" x14ac:dyDescent="0.25">
      <c r="A27" s="210" t="s">
        <v>152</v>
      </c>
      <c r="B27" s="206">
        <f>+'1.5_CSL_VolVal'!$C$15</f>
        <v>28539.93</v>
      </c>
      <c r="C27" s="202">
        <f>+'1.5_CSL_VolVal'!$C$15</f>
        <v>28539.93</v>
      </c>
      <c r="E27" s="106"/>
    </row>
    <row r="28" spans="1:6" ht="13.2" x14ac:dyDescent="0.25">
      <c r="A28" s="211" t="s">
        <v>152</v>
      </c>
      <c r="B28" s="207">
        <f>+'1.5_CSL_VolVal'!$H$15</f>
        <v>3710.0400000000009</v>
      </c>
      <c r="C28" s="203">
        <f>+'1.5_CSL_VolVal'!$H$15</f>
        <v>3710.0400000000009</v>
      </c>
      <c r="E28" s="106"/>
    </row>
    <row r="29" spans="1:6" ht="13.2" x14ac:dyDescent="0.25">
      <c r="A29" s="212" t="s">
        <v>154</v>
      </c>
      <c r="B29" s="208">
        <f>+'1.5_CSL_VolVal'!$C$16</f>
        <v>4514.2700000000004</v>
      </c>
      <c r="C29" s="204">
        <f>+'1.5_CSL_VolVal'!$C$16</f>
        <v>4514.2700000000004</v>
      </c>
      <c r="E29" s="106"/>
    </row>
    <row r="30" spans="1:6" ht="13.2" x14ac:dyDescent="0.25">
      <c r="A30" s="213" t="s">
        <v>154</v>
      </c>
      <c r="B30" s="209">
        <f>+'1.5_CSL_VolVal'!$H$16</f>
        <v>6561.9700000000012</v>
      </c>
      <c r="C30" s="205">
        <f>+'1.5_CSL_VolVal'!$H$16</f>
        <v>6561.9700000000012</v>
      </c>
      <c r="E30" s="106"/>
    </row>
    <row r="31" spans="1:6" ht="13.2" x14ac:dyDescent="0.25">
      <c r="A31" s="210" t="s">
        <v>155</v>
      </c>
      <c r="B31" s="206">
        <f>++'1.5_CSL_VolVal'!$C$17</f>
        <v>6956.86</v>
      </c>
      <c r="C31" s="202">
        <f>++'1.5_CSL_VolVal'!$C$17</f>
        <v>6956.86</v>
      </c>
      <c r="E31" s="106"/>
    </row>
    <row r="32" spans="1:6" ht="13.2" x14ac:dyDescent="0.25">
      <c r="A32" s="211" t="s">
        <v>155</v>
      </c>
      <c r="B32" s="207">
        <f>+'1.5_CSL_VolVal'!$H$17</f>
        <v>4006.3599999999997</v>
      </c>
      <c r="C32" s="203">
        <f>+'1.5_CSL_VolVal'!$H$17</f>
        <v>4006.3599999999997</v>
      </c>
      <c r="E32" s="106"/>
    </row>
    <row r="33" spans="1:5" ht="13.2" x14ac:dyDescent="0.25">
      <c r="A33" s="212">
        <v>15</v>
      </c>
      <c r="B33" s="208">
        <f>+'1.5_CSL_VolVal'!$C$18</f>
        <v>8254</v>
      </c>
      <c r="C33" s="204">
        <f>+'1.5_CSL_VolVal'!$C$18</f>
        <v>8254</v>
      </c>
      <c r="E33" s="106"/>
    </row>
    <row r="34" spans="1:5" ht="13.2" x14ac:dyDescent="0.25">
      <c r="A34" s="213">
        <v>15</v>
      </c>
      <c r="B34" s="209">
        <f>+'1.5_CSL_VolVal'!$H$18</f>
        <v>7019</v>
      </c>
      <c r="C34" s="205">
        <f>+'1.5_CSL_VolVal'!$H$18</f>
        <v>7019</v>
      </c>
    </row>
    <row r="35" spans="1:5" ht="13.2" x14ac:dyDescent="0.25">
      <c r="A35" s="210" t="s">
        <v>157</v>
      </c>
      <c r="B35" s="206"/>
      <c r="C35" s="202"/>
    </row>
    <row r="36" spans="1:5" ht="13.2" x14ac:dyDescent="0.25">
      <c r="A36" s="211" t="s">
        <v>157</v>
      </c>
      <c r="B36" s="207"/>
      <c r="C36" s="203"/>
    </row>
  </sheetData>
  <hyperlinks>
    <hyperlink ref="A1" location="'Index &amp; Instructions'!A1" display="HOME"/>
  </hyperlinks>
  <printOptions horizontalCentered="1"/>
  <pageMargins left="0.45" right="0.45" top="0.75" bottom="0.75" header="0.3" footer="0.3"/>
  <pageSetup scale="50" orientation="landscape" r:id="rId1"/>
  <headerFooter>
    <oddFooter>&amp;LOregon Department of Forestry
State Forests Division&amp;R&amp;A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6"/>
  <sheetViews>
    <sheetView showGridLines="0" workbookViewId="0">
      <selection activeCell="D1" sqref="D1"/>
    </sheetView>
  </sheetViews>
  <sheetFormatPr defaultRowHeight="13.2" x14ac:dyDescent="0.25"/>
  <cols>
    <col min="1" max="1" width="11.33203125" style="276" customWidth="1"/>
    <col min="2" max="2" width="14.21875" style="276" customWidth="1"/>
    <col min="3" max="3" width="10.6640625" style="276" customWidth="1"/>
    <col min="4" max="4" width="11.88671875" style="276" customWidth="1"/>
    <col min="5" max="16384" width="8.88671875" style="276"/>
  </cols>
  <sheetData>
    <row r="1" spans="1:4" x14ac:dyDescent="0.25">
      <c r="A1" s="276" t="s">
        <v>15</v>
      </c>
      <c r="B1" s="276" t="s">
        <v>24</v>
      </c>
      <c r="D1" s="852" t="s">
        <v>532</v>
      </c>
    </row>
    <row r="3" spans="1:4" ht="20.399999999999999" x14ac:dyDescent="0.25">
      <c r="A3" s="280" t="s">
        <v>14</v>
      </c>
      <c r="B3" s="282" t="s">
        <v>315</v>
      </c>
      <c r="C3" s="282" t="s">
        <v>316</v>
      </c>
      <c r="D3"/>
    </row>
    <row r="4" spans="1:4" x14ac:dyDescent="0.25">
      <c r="A4" s="277">
        <v>1996</v>
      </c>
      <c r="B4" s="278">
        <v>15700</v>
      </c>
      <c r="C4" s="278">
        <v>26760</v>
      </c>
      <c r="D4"/>
    </row>
    <row r="5" spans="1:4" x14ac:dyDescent="0.25">
      <c r="A5" s="277">
        <v>1997</v>
      </c>
      <c r="B5" s="278">
        <v>25100</v>
      </c>
      <c r="C5" s="278">
        <v>38599</v>
      </c>
      <c r="D5"/>
    </row>
    <row r="6" spans="1:4" x14ac:dyDescent="0.25">
      <c r="A6" s="277">
        <v>1998</v>
      </c>
      <c r="B6" s="278">
        <v>29200</v>
      </c>
      <c r="C6" s="278">
        <v>30053</v>
      </c>
      <c r="D6"/>
    </row>
    <row r="7" spans="1:4" x14ac:dyDescent="0.25">
      <c r="A7" s="277">
        <v>1999</v>
      </c>
      <c r="B7" s="278">
        <v>45355</v>
      </c>
      <c r="C7" s="278">
        <v>48624</v>
      </c>
      <c r="D7"/>
    </row>
    <row r="8" spans="1:4" x14ac:dyDescent="0.25">
      <c r="A8" s="277">
        <v>2000</v>
      </c>
      <c r="B8" s="278">
        <v>41704</v>
      </c>
      <c r="C8" s="278">
        <v>51772</v>
      </c>
      <c r="D8"/>
    </row>
    <row r="9" spans="1:4" x14ac:dyDescent="0.25">
      <c r="A9" s="277">
        <v>2001</v>
      </c>
      <c r="B9" s="278">
        <v>37150</v>
      </c>
      <c r="C9" s="278">
        <v>33521</v>
      </c>
      <c r="D9"/>
    </row>
    <row r="10" spans="1:4" x14ac:dyDescent="0.25">
      <c r="A10" s="277">
        <v>2002</v>
      </c>
      <c r="B10" s="278">
        <v>24000</v>
      </c>
      <c r="C10" s="278">
        <v>32271</v>
      </c>
      <c r="D10"/>
    </row>
    <row r="11" spans="1:4" x14ac:dyDescent="0.25">
      <c r="A11" s="277">
        <v>2003</v>
      </c>
      <c r="B11" s="278">
        <v>53396</v>
      </c>
      <c r="C11" s="278">
        <v>57882</v>
      </c>
      <c r="D11"/>
    </row>
    <row r="12" spans="1:4" x14ac:dyDescent="0.25">
      <c r="A12" s="277">
        <v>2004</v>
      </c>
      <c r="B12" s="278">
        <v>68010</v>
      </c>
      <c r="C12" s="278">
        <v>68806</v>
      </c>
      <c r="D12"/>
    </row>
    <row r="13" spans="1:4" x14ac:dyDescent="0.25">
      <c r="A13" s="277">
        <v>2005</v>
      </c>
      <c r="B13" s="278">
        <v>67228</v>
      </c>
      <c r="C13" s="278">
        <v>54796</v>
      </c>
      <c r="D13"/>
    </row>
    <row r="14" spans="1:4" x14ac:dyDescent="0.25">
      <c r="A14" s="277">
        <v>2006</v>
      </c>
      <c r="B14" s="278">
        <v>90430</v>
      </c>
      <c r="C14" s="278">
        <v>76918</v>
      </c>
      <c r="D14"/>
    </row>
    <row r="15" spans="1:4" x14ac:dyDescent="0.25">
      <c r="A15" s="277">
        <v>2007</v>
      </c>
      <c r="B15" s="278">
        <v>58100</v>
      </c>
      <c r="C15" s="278">
        <v>50820</v>
      </c>
      <c r="D15"/>
    </row>
    <row r="16" spans="1:4" x14ac:dyDescent="0.25">
      <c r="A16" s="277">
        <v>2008</v>
      </c>
      <c r="B16" s="278">
        <v>59700</v>
      </c>
      <c r="C16" s="278">
        <v>25189</v>
      </c>
      <c r="D16"/>
    </row>
    <row r="17" spans="1:4" x14ac:dyDescent="0.25">
      <c r="A17" s="277">
        <v>2009</v>
      </c>
      <c r="B17" s="278">
        <v>35300</v>
      </c>
      <c r="C17" s="278">
        <v>27282</v>
      </c>
      <c r="D17"/>
    </row>
    <row r="18" spans="1:4" x14ac:dyDescent="0.25">
      <c r="A18" s="277">
        <v>2010</v>
      </c>
      <c r="B18" s="278">
        <v>34878</v>
      </c>
      <c r="C18" s="278">
        <v>38471</v>
      </c>
      <c r="D18"/>
    </row>
    <row r="19" spans="1:4" x14ac:dyDescent="0.25">
      <c r="A19" s="277">
        <v>2011</v>
      </c>
      <c r="B19" s="278">
        <v>50107</v>
      </c>
      <c r="C19" s="278">
        <v>47747</v>
      </c>
      <c r="D19"/>
    </row>
    <row r="20" spans="1:4" x14ac:dyDescent="0.25">
      <c r="A20" s="277">
        <v>2012</v>
      </c>
      <c r="B20" s="278">
        <v>49027</v>
      </c>
      <c r="C20" s="278">
        <v>50716</v>
      </c>
      <c r="D20"/>
    </row>
    <row r="21" spans="1:4" x14ac:dyDescent="0.25">
      <c r="A21" s="277">
        <v>2013</v>
      </c>
      <c r="B21" s="278">
        <v>49000</v>
      </c>
      <c r="C21" s="278">
        <v>41281</v>
      </c>
      <c r="D21"/>
    </row>
    <row r="22" spans="1:4" x14ac:dyDescent="0.25">
      <c r="A22" s="277">
        <v>2014</v>
      </c>
      <c r="B22" s="278">
        <v>50900</v>
      </c>
      <c r="C22" s="278">
        <v>33096</v>
      </c>
      <c r="D22"/>
    </row>
    <row r="23" spans="1:4" x14ac:dyDescent="0.25">
      <c r="A23" s="277">
        <v>2015</v>
      </c>
      <c r="B23" s="278">
        <v>47000</v>
      </c>
      <c r="C23" s="278">
        <v>36088</v>
      </c>
      <c r="D23"/>
    </row>
    <row r="24" spans="1:4" x14ac:dyDescent="0.25">
      <c r="A24" s="279" t="s">
        <v>79</v>
      </c>
      <c r="B24" s="281">
        <v>931285</v>
      </c>
      <c r="C24" s="281">
        <v>870692</v>
      </c>
      <c r="D24"/>
    </row>
    <row r="25" spans="1:4" x14ac:dyDescent="0.25">
      <c r="A25"/>
      <c r="B25"/>
      <c r="C25"/>
      <c r="D25"/>
    </row>
    <row r="26" spans="1:4" x14ac:dyDescent="0.25">
      <c r="A26"/>
      <c r="B26"/>
      <c r="C26"/>
      <c r="D26"/>
    </row>
    <row r="27" spans="1:4" x14ac:dyDescent="0.25">
      <c r="A27"/>
      <c r="B27"/>
      <c r="C27"/>
      <c r="D27"/>
    </row>
    <row r="28" spans="1:4" x14ac:dyDescent="0.25">
      <c r="A28" s="195"/>
      <c r="B28" s="195"/>
      <c r="C28" s="195"/>
      <c r="D28" s="195"/>
    </row>
    <row r="29" spans="1:4" x14ac:dyDescent="0.25">
      <c r="A29" s="195"/>
      <c r="B29" s="195"/>
      <c r="C29" s="195"/>
      <c r="D29" s="195"/>
    </row>
    <row r="30" spans="1:4" x14ac:dyDescent="0.25">
      <c r="A30" s="195"/>
      <c r="B30" s="195"/>
      <c r="C30" s="195"/>
      <c r="D30" s="195"/>
    </row>
    <row r="31" spans="1:4" x14ac:dyDescent="0.25">
      <c r="A31" s="195"/>
      <c r="B31" s="195"/>
      <c r="C31" s="195"/>
      <c r="D31" s="195"/>
    </row>
    <row r="32" spans="1:4" x14ac:dyDescent="0.25">
      <c r="A32" s="195"/>
      <c r="B32" s="195"/>
      <c r="C32" s="195"/>
      <c r="D32" s="195"/>
    </row>
    <row r="33" spans="1:4" x14ac:dyDescent="0.25">
      <c r="A33" s="195"/>
      <c r="B33" s="195"/>
      <c r="C33" s="195"/>
      <c r="D33" s="195"/>
    </row>
    <row r="34" spans="1:4" x14ac:dyDescent="0.25">
      <c r="A34" s="195"/>
      <c r="B34" s="195"/>
      <c r="C34" s="195"/>
      <c r="D34" s="195"/>
    </row>
    <row r="35" spans="1:4" x14ac:dyDescent="0.25">
      <c r="A35" s="195"/>
      <c r="B35" s="195"/>
      <c r="C35" s="195"/>
      <c r="D35" s="195"/>
    </row>
    <row r="36" spans="1:4" x14ac:dyDescent="0.25">
      <c r="A36" s="195"/>
      <c r="B36" s="195"/>
      <c r="C36" s="195"/>
      <c r="D36" s="195"/>
    </row>
    <row r="37" spans="1:4" x14ac:dyDescent="0.25">
      <c r="A37" s="195"/>
      <c r="B37" s="195"/>
      <c r="C37" s="195"/>
      <c r="D37" s="195"/>
    </row>
    <row r="38" spans="1:4" x14ac:dyDescent="0.25">
      <c r="A38" s="195"/>
      <c r="B38" s="195"/>
      <c r="C38" s="195"/>
      <c r="D38" s="195"/>
    </row>
    <row r="39" spans="1:4" x14ac:dyDescent="0.25">
      <c r="A39" s="195"/>
      <c r="B39" s="195"/>
      <c r="C39" s="195"/>
      <c r="D39" s="195"/>
    </row>
    <row r="40" spans="1:4" x14ac:dyDescent="0.25">
      <c r="A40" s="195"/>
      <c r="B40" s="195"/>
      <c r="C40" s="195"/>
      <c r="D40" s="195"/>
    </row>
    <row r="41" spans="1:4" x14ac:dyDescent="0.25">
      <c r="A41" s="195"/>
      <c r="B41" s="195"/>
      <c r="C41" s="195"/>
      <c r="D41" s="195"/>
    </row>
    <row r="42" spans="1:4" x14ac:dyDescent="0.25">
      <c r="A42" s="195"/>
      <c r="B42" s="195"/>
      <c r="C42" s="195"/>
      <c r="D42" s="195"/>
    </row>
    <row r="43" spans="1:4" x14ac:dyDescent="0.25">
      <c r="A43" s="195"/>
      <c r="B43" s="195"/>
      <c r="C43" s="195"/>
      <c r="D43" s="195"/>
    </row>
    <row r="44" spans="1:4" x14ac:dyDescent="0.25">
      <c r="A44" s="195"/>
      <c r="B44" s="195"/>
      <c r="C44" s="195"/>
      <c r="D44" s="195"/>
    </row>
    <row r="45" spans="1:4" x14ac:dyDescent="0.25">
      <c r="A45" s="195"/>
      <c r="B45" s="195"/>
      <c r="C45" s="195"/>
      <c r="D45" s="195"/>
    </row>
    <row r="46" spans="1:4" x14ac:dyDescent="0.25">
      <c r="A46" s="195"/>
      <c r="B46" s="195"/>
      <c r="C46" s="195"/>
      <c r="D46" s="195"/>
    </row>
    <row r="47" spans="1:4" x14ac:dyDescent="0.25">
      <c r="A47" s="195"/>
      <c r="B47" s="195"/>
      <c r="C47" s="195"/>
      <c r="D47" s="195"/>
    </row>
    <row r="48" spans="1:4" x14ac:dyDescent="0.25">
      <c r="A48" s="195"/>
      <c r="B48" s="195"/>
      <c r="C48" s="195"/>
      <c r="D48" s="195"/>
    </row>
    <row r="49" spans="1:4" x14ac:dyDescent="0.25">
      <c r="A49" s="195"/>
      <c r="B49" s="195"/>
      <c r="C49" s="195"/>
      <c r="D49" s="195"/>
    </row>
    <row r="50" spans="1:4" x14ac:dyDescent="0.25">
      <c r="A50" s="195"/>
      <c r="B50" s="195"/>
      <c r="C50" s="195"/>
      <c r="D50" s="195"/>
    </row>
    <row r="51" spans="1:4" x14ac:dyDescent="0.25">
      <c r="A51" s="195"/>
      <c r="B51" s="195"/>
      <c r="C51" s="195"/>
      <c r="D51" s="195"/>
    </row>
    <row r="52" spans="1:4" x14ac:dyDescent="0.25">
      <c r="A52" s="195"/>
      <c r="B52" s="195"/>
      <c r="C52" s="195"/>
      <c r="D52" s="195"/>
    </row>
    <row r="53" spans="1:4" x14ac:dyDescent="0.25">
      <c r="A53" s="195"/>
      <c r="B53" s="195"/>
      <c r="C53" s="195"/>
      <c r="D53" s="195"/>
    </row>
    <row r="54" spans="1:4" x14ac:dyDescent="0.25">
      <c r="A54" s="195"/>
      <c r="B54" s="195"/>
      <c r="C54" s="195"/>
      <c r="D54" s="195"/>
    </row>
    <row r="55" spans="1:4" x14ac:dyDescent="0.25">
      <c r="A55" s="195"/>
      <c r="B55" s="195"/>
      <c r="C55" s="195"/>
      <c r="D55" s="195"/>
    </row>
    <row r="56" spans="1:4" x14ac:dyDescent="0.25">
      <c r="A56" s="195"/>
      <c r="B56" s="195"/>
      <c r="C56" s="195"/>
      <c r="D56" s="195"/>
    </row>
    <row r="57" spans="1:4" x14ac:dyDescent="0.25">
      <c r="A57" s="195"/>
      <c r="B57" s="195"/>
      <c r="C57" s="195"/>
      <c r="D57" s="195"/>
    </row>
    <row r="58" spans="1:4" x14ac:dyDescent="0.25">
      <c r="A58" s="195"/>
      <c r="B58" s="195"/>
      <c r="C58" s="195"/>
      <c r="D58" s="195"/>
    </row>
    <row r="59" spans="1:4" x14ac:dyDescent="0.25">
      <c r="A59" s="195"/>
      <c r="B59" s="195"/>
      <c r="C59" s="195"/>
      <c r="D59" s="195"/>
    </row>
    <row r="60" spans="1:4" x14ac:dyDescent="0.25">
      <c r="A60" s="195"/>
      <c r="B60" s="195"/>
      <c r="C60" s="195"/>
      <c r="D60" s="195"/>
    </row>
    <row r="61" spans="1:4" x14ac:dyDescent="0.25">
      <c r="A61" s="195"/>
      <c r="B61" s="195"/>
      <c r="C61" s="195"/>
      <c r="D61" s="195"/>
    </row>
    <row r="62" spans="1:4" x14ac:dyDescent="0.25">
      <c r="A62" s="195"/>
      <c r="B62" s="195"/>
      <c r="C62" s="195"/>
      <c r="D62" s="195"/>
    </row>
    <row r="63" spans="1:4" x14ac:dyDescent="0.25">
      <c r="A63" s="195"/>
      <c r="B63" s="195"/>
      <c r="C63" s="195"/>
      <c r="D63" s="195"/>
    </row>
    <row r="64" spans="1:4" x14ac:dyDescent="0.25">
      <c r="A64" s="195"/>
      <c r="B64" s="195"/>
      <c r="C64" s="195"/>
      <c r="D64" s="195"/>
    </row>
    <row r="65" spans="1:4" x14ac:dyDescent="0.25">
      <c r="A65" s="195"/>
      <c r="B65" s="195"/>
      <c r="C65" s="195"/>
      <c r="D65" s="195"/>
    </row>
    <row r="66" spans="1:4" x14ac:dyDescent="0.25">
      <c r="A66" s="195"/>
      <c r="B66" s="195"/>
      <c r="C66" s="195"/>
      <c r="D66" s="195"/>
    </row>
    <row r="67" spans="1:4" x14ac:dyDescent="0.25">
      <c r="A67" s="195"/>
      <c r="B67" s="195"/>
      <c r="C67" s="195"/>
      <c r="D67" s="195"/>
    </row>
    <row r="68" spans="1:4" x14ac:dyDescent="0.25">
      <c r="A68" s="195"/>
      <c r="B68" s="195"/>
      <c r="C68" s="195"/>
      <c r="D68" s="195"/>
    </row>
    <row r="69" spans="1:4" x14ac:dyDescent="0.25">
      <c r="A69" s="195"/>
      <c r="B69" s="195"/>
      <c r="C69" s="195"/>
      <c r="D69" s="195"/>
    </row>
    <row r="70" spans="1:4" x14ac:dyDescent="0.25">
      <c r="A70" s="195"/>
      <c r="B70" s="195"/>
      <c r="C70" s="195"/>
      <c r="D70" s="195"/>
    </row>
    <row r="71" spans="1:4" x14ac:dyDescent="0.25">
      <c r="A71" s="195"/>
      <c r="B71" s="195"/>
      <c r="C71" s="195"/>
      <c r="D71" s="195"/>
    </row>
    <row r="72" spans="1:4" x14ac:dyDescent="0.25">
      <c r="A72" s="195"/>
      <c r="B72" s="195"/>
      <c r="C72" s="195"/>
      <c r="D72" s="195"/>
    </row>
    <row r="73" spans="1:4" x14ac:dyDescent="0.25">
      <c r="A73" s="195"/>
      <c r="B73" s="195"/>
      <c r="C73" s="195"/>
      <c r="D73" s="195"/>
    </row>
    <row r="74" spans="1:4" x14ac:dyDescent="0.25">
      <c r="A74" s="195"/>
      <c r="B74" s="195"/>
      <c r="C74" s="195"/>
      <c r="D74" s="195"/>
    </row>
    <row r="75" spans="1:4" x14ac:dyDescent="0.25">
      <c r="A75" s="195"/>
      <c r="B75" s="195"/>
      <c r="C75" s="195"/>
      <c r="D75" s="195"/>
    </row>
    <row r="76" spans="1:4" x14ac:dyDescent="0.25">
      <c r="A76" s="195"/>
      <c r="B76" s="195"/>
      <c r="C76" s="195"/>
      <c r="D76" s="195"/>
    </row>
    <row r="77" spans="1:4" x14ac:dyDescent="0.25">
      <c r="A77" s="195"/>
      <c r="B77" s="195"/>
      <c r="C77" s="195"/>
      <c r="D77" s="195"/>
    </row>
    <row r="78" spans="1:4" x14ac:dyDescent="0.25">
      <c r="A78" s="195"/>
      <c r="B78" s="195"/>
      <c r="C78" s="195"/>
      <c r="D78" s="195"/>
    </row>
    <row r="79" spans="1:4" x14ac:dyDescent="0.25">
      <c r="A79" s="195"/>
      <c r="B79" s="195"/>
      <c r="C79" s="195"/>
      <c r="D79" s="195"/>
    </row>
    <row r="80" spans="1:4" x14ac:dyDescent="0.25">
      <c r="A80" s="195"/>
      <c r="B80" s="195"/>
      <c r="C80" s="195"/>
      <c r="D80" s="195"/>
    </row>
    <row r="81" spans="1:4" x14ac:dyDescent="0.25">
      <c r="A81" s="195"/>
      <c r="B81" s="195"/>
      <c r="C81" s="195"/>
      <c r="D81" s="195"/>
    </row>
    <row r="82" spans="1:4" x14ac:dyDescent="0.25">
      <c r="A82" s="195"/>
      <c r="B82" s="195"/>
      <c r="C82" s="195"/>
      <c r="D82" s="195"/>
    </row>
    <row r="83" spans="1:4" x14ac:dyDescent="0.25">
      <c r="A83" s="195"/>
      <c r="B83" s="195"/>
      <c r="C83" s="195"/>
      <c r="D83" s="195"/>
    </row>
    <row r="84" spans="1:4" x14ac:dyDescent="0.25">
      <c r="A84" s="195"/>
      <c r="B84" s="195"/>
      <c r="C84" s="195"/>
      <c r="D84" s="195"/>
    </row>
    <row r="85" spans="1:4" x14ac:dyDescent="0.25">
      <c r="A85" s="195"/>
      <c r="B85" s="195"/>
      <c r="C85" s="195"/>
      <c r="D85" s="195"/>
    </row>
    <row r="86" spans="1:4" x14ac:dyDescent="0.25">
      <c r="A86" s="195"/>
      <c r="B86" s="195"/>
      <c r="C86" s="195"/>
      <c r="D86" s="195"/>
    </row>
    <row r="87" spans="1:4" x14ac:dyDescent="0.25">
      <c r="A87" s="195"/>
      <c r="B87" s="195"/>
      <c r="C87" s="195"/>
      <c r="D87" s="195"/>
    </row>
    <row r="88" spans="1:4" x14ac:dyDescent="0.25">
      <c r="A88" s="195"/>
      <c r="B88" s="195"/>
      <c r="C88" s="195"/>
      <c r="D88" s="195"/>
    </row>
    <row r="89" spans="1:4" x14ac:dyDescent="0.25">
      <c r="A89" s="195"/>
      <c r="B89" s="195"/>
      <c r="C89" s="195"/>
      <c r="D89" s="195"/>
    </row>
    <row r="90" spans="1:4" x14ac:dyDescent="0.25">
      <c r="A90" s="195"/>
      <c r="B90" s="195"/>
      <c r="C90" s="195"/>
      <c r="D90" s="195"/>
    </row>
    <row r="91" spans="1:4" x14ac:dyDescent="0.25">
      <c r="A91" s="195"/>
      <c r="B91" s="195"/>
      <c r="C91" s="195"/>
      <c r="D91" s="195"/>
    </row>
    <row r="92" spans="1:4" x14ac:dyDescent="0.25">
      <c r="A92" s="195"/>
      <c r="B92" s="195"/>
      <c r="C92" s="195"/>
      <c r="D92" s="195"/>
    </row>
    <row r="93" spans="1:4" x14ac:dyDescent="0.25">
      <c r="A93" s="195"/>
      <c r="B93" s="195"/>
      <c r="C93" s="195"/>
      <c r="D93" s="195"/>
    </row>
    <row r="94" spans="1:4" x14ac:dyDescent="0.25">
      <c r="A94" s="195"/>
      <c r="B94" s="195"/>
      <c r="C94" s="195"/>
      <c r="D94" s="195"/>
    </row>
    <row r="95" spans="1:4" x14ac:dyDescent="0.25">
      <c r="A95" s="195"/>
      <c r="B95" s="195"/>
      <c r="C95" s="195"/>
      <c r="D95" s="195"/>
    </row>
    <row r="96" spans="1:4" x14ac:dyDescent="0.25">
      <c r="A96" s="195"/>
      <c r="B96" s="195"/>
      <c r="C96" s="195"/>
      <c r="D96" s="195"/>
    </row>
    <row r="97" spans="1:4" x14ac:dyDescent="0.25">
      <c r="A97" s="195"/>
      <c r="B97" s="195"/>
      <c r="C97" s="195"/>
      <c r="D97" s="195"/>
    </row>
    <row r="98" spans="1:4" x14ac:dyDescent="0.25">
      <c r="A98" s="195"/>
      <c r="B98" s="195"/>
      <c r="C98" s="195"/>
      <c r="D98" s="195"/>
    </row>
    <row r="99" spans="1:4" x14ac:dyDescent="0.25">
      <c r="A99" s="195"/>
      <c r="B99" s="195"/>
      <c r="C99" s="195"/>
      <c r="D99" s="195"/>
    </row>
    <row r="100" spans="1:4" x14ac:dyDescent="0.25">
      <c r="A100" s="195"/>
      <c r="B100" s="195"/>
      <c r="C100" s="195"/>
      <c r="D100" s="195"/>
    </row>
    <row r="101" spans="1:4" x14ac:dyDescent="0.25">
      <c r="A101" s="195"/>
      <c r="B101" s="195"/>
      <c r="C101" s="195"/>
      <c r="D101" s="195"/>
    </row>
    <row r="102" spans="1:4" x14ac:dyDescent="0.25">
      <c r="A102" s="195"/>
      <c r="B102" s="195"/>
      <c r="C102" s="195"/>
      <c r="D102" s="195"/>
    </row>
    <row r="103" spans="1:4" x14ac:dyDescent="0.25">
      <c r="A103" s="195"/>
      <c r="B103" s="195"/>
      <c r="C103" s="195"/>
      <c r="D103" s="195"/>
    </row>
    <row r="104" spans="1:4" x14ac:dyDescent="0.25">
      <c r="A104" s="195"/>
      <c r="B104" s="195"/>
      <c r="C104" s="195"/>
      <c r="D104" s="195"/>
    </row>
    <row r="105" spans="1:4" x14ac:dyDescent="0.25">
      <c r="A105" s="195"/>
      <c r="B105" s="195"/>
      <c r="C105" s="195"/>
      <c r="D105" s="195"/>
    </row>
    <row r="106" spans="1:4" x14ac:dyDescent="0.25">
      <c r="A106" s="195"/>
      <c r="B106" s="195"/>
      <c r="C106" s="195"/>
      <c r="D106" s="195"/>
    </row>
    <row r="107" spans="1:4" x14ac:dyDescent="0.25">
      <c r="A107" s="195"/>
      <c r="B107" s="195"/>
      <c r="C107" s="195"/>
      <c r="D107" s="195"/>
    </row>
    <row r="108" spans="1:4" x14ac:dyDescent="0.25">
      <c r="A108" s="195"/>
      <c r="B108" s="195"/>
      <c r="C108" s="195"/>
      <c r="D108" s="195"/>
    </row>
    <row r="109" spans="1:4" x14ac:dyDescent="0.25">
      <c r="A109" s="195"/>
      <c r="B109" s="195"/>
      <c r="C109" s="195"/>
      <c r="D109" s="195"/>
    </row>
    <row r="110" spans="1:4" x14ac:dyDescent="0.25">
      <c r="A110" s="195"/>
      <c r="B110" s="195"/>
      <c r="C110" s="195"/>
      <c r="D110" s="195"/>
    </row>
    <row r="111" spans="1:4" x14ac:dyDescent="0.25">
      <c r="A111" s="195"/>
      <c r="B111" s="195"/>
      <c r="C111" s="195"/>
      <c r="D111" s="195"/>
    </row>
    <row r="112" spans="1:4" x14ac:dyDescent="0.25">
      <c r="A112" s="195"/>
      <c r="B112" s="195"/>
      <c r="C112" s="195"/>
      <c r="D112" s="195"/>
    </row>
    <row r="113" spans="1:4" x14ac:dyDescent="0.25">
      <c r="A113" s="195"/>
      <c r="B113" s="195"/>
      <c r="C113" s="195"/>
      <c r="D113" s="195"/>
    </row>
    <row r="114" spans="1:4" x14ac:dyDescent="0.25">
      <c r="A114" s="195"/>
      <c r="B114" s="195"/>
      <c r="C114" s="195"/>
      <c r="D114" s="195"/>
    </row>
    <row r="115" spans="1:4" x14ac:dyDescent="0.25">
      <c r="A115" s="195"/>
      <c r="B115" s="195"/>
      <c r="C115" s="195"/>
      <c r="D115" s="195"/>
    </row>
    <row r="116" spans="1:4" x14ac:dyDescent="0.25">
      <c r="A116" s="195"/>
      <c r="B116" s="195"/>
      <c r="C116" s="195"/>
      <c r="D116" s="195"/>
    </row>
    <row r="117" spans="1:4" x14ac:dyDescent="0.25">
      <c r="A117" s="195"/>
      <c r="B117" s="195"/>
      <c r="C117" s="195"/>
      <c r="D117" s="195"/>
    </row>
    <row r="118" spans="1:4" x14ac:dyDescent="0.25">
      <c r="A118" s="195"/>
      <c r="B118" s="195"/>
      <c r="C118" s="195"/>
      <c r="D118" s="195"/>
    </row>
    <row r="119" spans="1:4" x14ac:dyDescent="0.25">
      <c r="A119" s="195"/>
      <c r="B119" s="195"/>
      <c r="C119" s="195"/>
      <c r="D119" s="195"/>
    </row>
    <row r="120" spans="1:4" x14ac:dyDescent="0.25">
      <c r="A120" s="195"/>
      <c r="B120" s="195"/>
      <c r="C120" s="195"/>
      <c r="D120" s="195"/>
    </row>
    <row r="121" spans="1:4" x14ac:dyDescent="0.25">
      <c r="A121" s="195"/>
      <c r="B121" s="195"/>
      <c r="C121" s="195"/>
      <c r="D121" s="195"/>
    </row>
    <row r="122" spans="1:4" x14ac:dyDescent="0.25">
      <c r="A122" s="195"/>
      <c r="B122" s="195"/>
      <c r="C122" s="195"/>
      <c r="D122" s="195"/>
    </row>
    <row r="123" spans="1:4" x14ac:dyDescent="0.25">
      <c r="A123" s="195"/>
      <c r="B123" s="195"/>
      <c r="C123" s="195"/>
      <c r="D123" s="195"/>
    </row>
    <row r="124" spans="1:4" x14ac:dyDescent="0.25">
      <c r="A124" s="195"/>
      <c r="B124" s="195"/>
      <c r="C124" s="195"/>
      <c r="D124" s="195"/>
    </row>
    <row r="125" spans="1:4" x14ac:dyDescent="0.25">
      <c r="A125" s="195"/>
      <c r="B125" s="195"/>
      <c r="C125" s="195"/>
      <c r="D125" s="195"/>
    </row>
    <row r="126" spans="1:4" x14ac:dyDescent="0.25">
      <c r="A126" s="195"/>
      <c r="B126" s="195"/>
      <c r="C126" s="195"/>
      <c r="D126" s="195"/>
    </row>
    <row r="127" spans="1:4" x14ac:dyDescent="0.25">
      <c r="A127" s="195"/>
      <c r="B127" s="195"/>
      <c r="C127" s="195"/>
      <c r="D127" s="195"/>
    </row>
    <row r="128" spans="1:4" x14ac:dyDescent="0.25">
      <c r="A128" s="195"/>
      <c r="B128" s="195"/>
      <c r="C128" s="195"/>
      <c r="D128" s="195"/>
    </row>
    <row r="129" spans="1:4" x14ac:dyDescent="0.25">
      <c r="A129" s="195"/>
      <c r="B129" s="195"/>
      <c r="C129" s="195"/>
      <c r="D129" s="195"/>
    </row>
    <row r="130" spans="1:4" x14ac:dyDescent="0.25">
      <c r="A130" s="195"/>
      <c r="B130" s="195"/>
      <c r="C130" s="195"/>
      <c r="D130" s="195"/>
    </row>
    <row r="131" spans="1:4" x14ac:dyDescent="0.25">
      <c r="A131" s="195"/>
      <c r="B131" s="195"/>
      <c r="C131" s="195"/>
      <c r="D131" s="195"/>
    </row>
    <row r="132" spans="1:4" x14ac:dyDescent="0.25">
      <c r="A132" s="195"/>
      <c r="B132" s="195"/>
      <c r="C132" s="195"/>
      <c r="D132" s="195"/>
    </row>
    <row r="133" spans="1:4" x14ac:dyDescent="0.25">
      <c r="A133" s="195"/>
      <c r="B133" s="195"/>
      <c r="C133" s="195"/>
      <c r="D133" s="195"/>
    </row>
    <row r="134" spans="1:4" x14ac:dyDescent="0.25">
      <c r="A134" s="195"/>
      <c r="B134" s="195"/>
      <c r="C134" s="195"/>
      <c r="D134" s="195"/>
    </row>
    <row r="135" spans="1:4" x14ac:dyDescent="0.25">
      <c r="A135" s="195"/>
      <c r="B135" s="195"/>
      <c r="C135" s="195"/>
      <c r="D135" s="195"/>
    </row>
    <row r="136" spans="1:4" x14ac:dyDescent="0.25">
      <c r="A136" s="195"/>
      <c r="B136" s="195"/>
      <c r="C136" s="195"/>
      <c r="D136" s="195"/>
    </row>
    <row r="137" spans="1:4" x14ac:dyDescent="0.25">
      <c r="A137" s="195"/>
      <c r="B137" s="195"/>
      <c r="C137" s="195"/>
      <c r="D137" s="195"/>
    </row>
    <row r="138" spans="1:4" x14ac:dyDescent="0.25">
      <c r="A138" s="195"/>
      <c r="B138" s="195"/>
      <c r="C138" s="195"/>
      <c r="D138" s="195"/>
    </row>
    <row r="139" spans="1:4" x14ac:dyDescent="0.25">
      <c r="A139" s="195"/>
      <c r="B139" s="195"/>
      <c r="C139" s="195"/>
      <c r="D139" s="195"/>
    </row>
    <row r="140" spans="1:4" x14ac:dyDescent="0.25">
      <c r="A140" s="195"/>
      <c r="B140" s="195"/>
      <c r="C140" s="195"/>
      <c r="D140" s="195"/>
    </row>
    <row r="141" spans="1:4" x14ac:dyDescent="0.25">
      <c r="A141" s="195"/>
      <c r="B141" s="195"/>
      <c r="C141" s="195"/>
      <c r="D141" s="195"/>
    </row>
    <row r="142" spans="1:4" x14ac:dyDescent="0.25">
      <c r="A142" s="195"/>
      <c r="B142" s="195"/>
      <c r="C142" s="195"/>
      <c r="D142" s="195"/>
    </row>
    <row r="143" spans="1:4" x14ac:dyDescent="0.25">
      <c r="A143" s="195"/>
      <c r="B143" s="195"/>
      <c r="C143" s="195"/>
      <c r="D143" s="195"/>
    </row>
    <row r="144" spans="1:4" x14ac:dyDescent="0.25">
      <c r="A144" s="195"/>
      <c r="B144" s="195"/>
      <c r="C144" s="195"/>
      <c r="D144" s="195"/>
    </row>
    <row r="145" spans="1:4" x14ac:dyDescent="0.25">
      <c r="A145" s="195"/>
      <c r="B145" s="195"/>
      <c r="C145" s="195"/>
      <c r="D145" s="195"/>
    </row>
    <row r="146" spans="1:4" x14ac:dyDescent="0.25">
      <c r="A146" s="195"/>
      <c r="B146" s="195"/>
      <c r="C146" s="195"/>
      <c r="D146" s="195"/>
    </row>
    <row r="147" spans="1:4" x14ac:dyDescent="0.25">
      <c r="A147" s="195"/>
      <c r="B147" s="195"/>
      <c r="C147" s="195"/>
      <c r="D147" s="195"/>
    </row>
    <row r="148" spans="1:4" x14ac:dyDescent="0.25">
      <c r="A148" s="195"/>
      <c r="B148" s="195"/>
      <c r="C148" s="195"/>
      <c r="D148" s="195"/>
    </row>
    <row r="149" spans="1:4" x14ac:dyDescent="0.25">
      <c r="A149" s="195"/>
      <c r="B149" s="195"/>
      <c r="C149" s="195"/>
      <c r="D149" s="195"/>
    </row>
    <row r="150" spans="1:4" x14ac:dyDescent="0.25">
      <c r="A150" s="195"/>
      <c r="B150" s="195"/>
      <c r="C150" s="195"/>
      <c r="D150" s="195"/>
    </row>
    <row r="151" spans="1:4" x14ac:dyDescent="0.25">
      <c r="A151" s="195"/>
      <c r="B151" s="195"/>
      <c r="C151" s="195"/>
      <c r="D151" s="195"/>
    </row>
    <row r="152" spans="1:4" x14ac:dyDescent="0.25">
      <c r="A152" s="195"/>
      <c r="B152" s="195"/>
      <c r="C152" s="195"/>
      <c r="D152" s="195"/>
    </row>
    <row r="153" spans="1:4" x14ac:dyDescent="0.25">
      <c r="A153" s="195"/>
      <c r="B153" s="195"/>
      <c r="C153" s="195"/>
      <c r="D153" s="195"/>
    </row>
    <row r="154" spans="1:4" x14ac:dyDescent="0.25">
      <c r="A154" s="195"/>
      <c r="B154" s="195"/>
      <c r="C154" s="195"/>
      <c r="D154" s="195"/>
    </row>
    <row r="155" spans="1:4" x14ac:dyDescent="0.25">
      <c r="A155" s="195"/>
      <c r="B155" s="195"/>
      <c r="C155" s="195"/>
      <c r="D155" s="195"/>
    </row>
    <row r="156" spans="1:4" x14ac:dyDescent="0.25">
      <c r="A156" s="195"/>
      <c r="B156" s="195"/>
      <c r="C156" s="195"/>
      <c r="D156" s="195"/>
    </row>
    <row r="157" spans="1:4" x14ac:dyDescent="0.25">
      <c r="A157" s="195"/>
      <c r="B157" s="195"/>
      <c r="C157" s="195"/>
      <c r="D157" s="195"/>
    </row>
    <row r="158" spans="1:4" x14ac:dyDescent="0.25">
      <c r="A158" s="195"/>
      <c r="B158" s="195"/>
      <c r="C158" s="195"/>
      <c r="D158" s="195"/>
    </row>
    <row r="159" spans="1:4" x14ac:dyDescent="0.25">
      <c r="A159" s="195"/>
      <c r="B159" s="195"/>
      <c r="C159" s="195"/>
      <c r="D159" s="195"/>
    </row>
    <row r="160" spans="1:4" x14ac:dyDescent="0.25">
      <c r="A160" s="195"/>
      <c r="B160" s="195"/>
      <c r="C160" s="195"/>
      <c r="D160" s="195"/>
    </row>
    <row r="161" spans="1:4" x14ac:dyDescent="0.25">
      <c r="A161" s="195"/>
      <c r="B161" s="195"/>
      <c r="C161" s="195"/>
      <c r="D161" s="195"/>
    </row>
    <row r="162" spans="1:4" x14ac:dyDescent="0.25">
      <c r="A162" s="195"/>
      <c r="B162" s="195"/>
      <c r="C162" s="195"/>
      <c r="D162" s="195"/>
    </row>
    <row r="163" spans="1:4" x14ac:dyDescent="0.25">
      <c r="A163" s="195"/>
      <c r="B163" s="195"/>
      <c r="C163" s="195"/>
      <c r="D163" s="195"/>
    </row>
    <row r="164" spans="1:4" x14ac:dyDescent="0.25">
      <c r="A164" s="195"/>
      <c r="B164" s="195"/>
      <c r="C164" s="195"/>
      <c r="D164" s="195"/>
    </row>
    <row r="165" spans="1:4" x14ac:dyDescent="0.25">
      <c r="A165" s="195"/>
      <c r="B165" s="195"/>
      <c r="C165" s="195"/>
      <c r="D165" s="195"/>
    </row>
    <row r="166" spans="1:4" x14ac:dyDescent="0.25">
      <c r="A166" s="195"/>
      <c r="B166" s="195"/>
      <c r="C166" s="195"/>
      <c r="D166" s="195"/>
    </row>
    <row r="167" spans="1:4" x14ac:dyDescent="0.25">
      <c r="A167" s="195"/>
      <c r="B167" s="195"/>
      <c r="C167" s="195"/>
      <c r="D167" s="195"/>
    </row>
    <row r="168" spans="1:4" x14ac:dyDescent="0.25">
      <c r="A168" s="195"/>
      <c r="B168" s="195"/>
      <c r="C168" s="195"/>
      <c r="D168" s="195"/>
    </row>
    <row r="169" spans="1:4" x14ac:dyDescent="0.25">
      <c r="A169" s="195"/>
      <c r="B169" s="195"/>
      <c r="C169" s="195"/>
      <c r="D169" s="195"/>
    </row>
    <row r="170" spans="1:4" x14ac:dyDescent="0.25">
      <c r="A170" s="195"/>
      <c r="B170" s="195"/>
      <c r="C170" s="195"/>
      <c r="D170" s="195"/>
    </row>
    <row r="171" spans="1:4" x14ac:dyDescent="0.25">
      <c r="A171" s="195"/>
      <c r="B171" s="195"/>
      <c r="C171" s="195"/>
      <c r="D171" s="195"/>
    </row>
    <row r="172" spans="1:4" x14ac:dyDescent="0.25">
      <c r="A172" s="195"/>
      <c r="B172" s="195"/>
      <c r="C172" s="195"/>
      <c r="D172" s="195"/>
    </row>
    <row r="173" spans="1:4" x14ac:dyDescent="0.25">
      <c r="A173" s="195"/>
      <c r="B173" s="195"/>
      <c r="C173" s="195"/>
      <c r="D173" s="195"/>
    </row>
    <row r="174" spans="1:4" x14ac:dyDescent="0.25">
      <c r="A174" s="195"/>
      <c r="B174" s="195"/>
      <c r="C174" s="195"/>
      <c r="D174" s="195"/>
    </row>
    <row r="175" spans="1:4" x14ac:dyDescent="0.25">
      <c r="A175" s="195"/>
      <c r="B175" s="195"/>
      <c r="C175" s="195"/>
      <c r="D175" s="195"/>
    </row>
    <row r="176" spans="1:4" x14ac:dyDescent="0.25">
      <c r="A176" s="195"/>
      <c r="B176" s="195"/>
      <c r="C176" s="195"/>
      <c r="D176" s="195"/>
    </row>
    <row r="177" spans="1:4" x14ac:dyDescent="0.25">
      <c r="A177" s="195"/>
      <c r="B177" s="195"/>
      <c r="C177" s="195"/>
      <c r="D177" s="195"/>
    </row>
    <row r="178" spans="1:4" x14ac:dyDescent="0.25">
      <c r="A178" s="195"/>
      <c r="B178" s="195"/>
      <c r="C178" s="195"/>
      <c r="D178" s="195"/>
    </row>
    <row r="179" spans="1:4" x14ac:dyDescent="0.25">
      <c r="A179" s="195"/>
      <c r="B179" s="195"/>
      <c r="C179" s="195"/>
      <c r="D179" s="195"/>
    </row>
    <row r="180" spans="1:4" x14ac:dyDescent="0.25">
      <c r="A180" s="195"/>
      <c r="B180" s="195"/>
      <c r="C180" s="195"/>
      <c r="D180" s="195"/>
    </row>
    <row r="181" spans="1:4" x14ac:dyDescent="0.25">
      <c r="A181" s="195"/>
      <c r="B181" s="195"/>
      <c r="C181" s="195"/>
      <c r="D181" s="195"/>
    </row>
    <row r="182" spans="1:4" x14ac:dyDescent="0.25">
      <c r="A182" s="195"/>
      <c r="B182" s="195"/>
      <c r="C182" s="195"/>
      <c r="D182" s="195"/>
    </row>
    <row r="183" spans="1:4" x14ac:dyDescent="0.25">
      <c r="A183" s="195"/>
      <c r="B183" s="195"/>
      <c r="C183" s="195"/>
      <c r="D183" s="195"/>
    </row>
    <row r="184" spans="1:4" x14ac:dyDescent="0.25">
      <c r="A184" s="195"/>
      <c r="B184" s="195"/>
      <c r="C184" s="195"/>
      <c r="D184" s="195"/>
    </row>
    <row r="185" spans="1:4" x14ac:dyDescent="0.25">
      <c r="A185" s="195"/>
      <c r="B185" s="195"/>
      <c r="C185" s="195"/>
      <c r="D185" s="195"/>
    </row>
    <row r="186" spans="1:4" x14ac:dyDescent="0.25">
      <c r="A186" s="195"/>
      <c r="B186" s="195"/>
      <c r="C186" s="195"/>
      <c r="D186" s="195"/>
    </row>
    <row r="187" spans="1:4" x14ac:dyDescent="0.25">
      <c r="A187" s="195"/>
      <c r="B187" s="195"/>
      <c r="C187" s="195"/>
      <c r="D187" s="195"/>
    </row>
    <row r="188" spans="1:4" x14ac:dyDescent="0.25">
      <c r="A188" s="195"/>
      <c r="B188" s="195"/>
      <c r="C188" s="195"/>
      <c r="D188" s="195"/>
    </row>
    <row r="189" spans="1:4" x14ac:dyDescent="0.25">
      <c r="A189" s="195"/>
      <c r="B189" s="195"/>
      <c r="C189" s="195"/>
      <c r="D189" s="195"/>
    </row>
    <row r="190" spans="1:4" x14ac:dyDescent="0.25">
      <c r="A190" s="195"/>
      <c r="B190" s="195"/>
      <c r="C190" s="195"/>
      <c r="D190" s="195"/>
    </row>
    <row r="191" spans="1:4" x14ac:dyDescent="0.25">
      <c r="A191" s="195"/>
      <c r="B191" s="195"/>
      <c r="C191" s="195"/>
      <c r="D191" s="195"/>
    </row>
    <row r="192" spans="1:4" x14ac:dyDescent="0.25">
      <c r="A192" s="195"/>
      <c r="B192" s="195"/>
      <c r="C192" s="195"/>
      <c r="D192" s="195"/>
    </row>
    <row r="193" spans="1:4" x14ac:dyDescent="0.25">
      <c r="A193" s="195"/>
      <c r="B193" s="195"/>
      <c r="C193" s="195"/>
      <c r="D193" s="195"/>
    </row>
    <row r="194" spans="1:4" x14ac:dyDescent="0.25">
      <c r="A194" s="195"/>
      <c r="B194" s="195"/>
      <c r="C194" s="195"/>
      <c r="D194" s="195"/>
    </row>
    <row r="195" spans="1:4" x14ac:dyDescent="0.25">
      <c r="A195" s="195"/>
      <c r="B195" s="195"/>
      <c r="C195" s="195"/>
      <c r="D195" s="195"/>
    </row>
    <row r="196" spans="1:4" x14ac:dyDescent="0.25">
      <c r="A196" s="195"/>
      <c r="B196" s="195"/>
      <c r="C196" s="195"/>
      <c r="D196" s="195"/>
    </row>
    <row r="197" spans="1:4" x14ac:dyDescent="0.25">
      <c r="A197" s="195"/>
      <c r="B197" s="195"/>
      <c r="C197" s="195"/>
      <c r="D197" s="195"/>
    </row>
    <row r="198" spans="1:4" x14ac:dyDescent="0.25">
      <c r="A198" s="195"/>
      <c r="B198" s="195"/>
      <c r="C198" s="195"/>
      <c r="D198" s="195"/>
    </row>
    <row r="199" spans="1:4" x14ac:dyDescent="0.25">
      <c r="A199" s="195"/>
      <c r="B199" s="195"/>
      <c r="C199" s="195"/>
      <c r="D199" s="195"/>
    </row>
    <row r="200" spans="1:4" x14ac:dyDescent="0.25">
      <c r="A200" s="195"/>
      <c r="B200" s="195"/>
      <c r="C200" s="195"/>
      <c r="D200" s="195"/>
    </row>
    <row r="201" spans="1:4" x14ac:dyDescent="0.25">
      <c r="A201" s="195"/>
      <c r="B201" s="195"/>
      <c r="C201" s="195"/>
      <c r="D201" s="195"/>
    </row>
    <row r="202" spans="1:4" x14ac:dyDescent="0.25">
      <c r="A202" s="195"/>
      <c r="B202" s="195"/>
      <c r="C202" s="195"/>
      <c r="D202" s="195"/>
    </row>
    <row r="203" spans="1:4" x14ac:dyDescent="0.25">
      <c r="A203" s="195"/>
      <c r="B203" s="195"/>
      <c r="C203" s="195"/>
      <c r="D203" s="195"/>
    </row>
    <row r="204" spans="1:4" x14ac:dyDescent="0.25">
      <c r="A204" s="195"/>
      <c r="B204" s="195"/>
      <c r="C204" s="195"/>
      <c r="D204" s="195"/>
    </row>
    <row r="205" spans="1:4" x14ac:dyDescent="0.25">
      <c r="A205" s="195"/>
      <c r="B205" s="195"/>
      <c r="C205" s="195"/>
      <c r="D205" s="195"/>
    </row>
    <row r="206" spans="1:4" x14ac:dyDescent="0.25">
      <c r="A206" s="195"/>
      <c r="B206" s="195"/>
      <c r="C206" s="195"/>
      <c r="D206" s="195"/>
    </row>
    <row r="207" spans="1:4" x14ac:dyDescent="0.25">
      <c r="A207" s="195"/>
      <c r="B207" s="195"/>
      <c r="C207" s="195"/>
      <c r="D207" s="195"/>
    </row>
    <row r="208" spans="1:4" x14ac:dyDescent="0.25">
      <c r="A208" s="195"/>
      <c r="B208" s="195"/>
      <c r="C208" s="195"/>
      <c r="D208" s="195"/>
    </row>
    <row r="209" spans="1:4" x14ac:dyDescent="0.25">
      <c r="A209" s="195"/>
      <c r="B209" s="195"/>
      <c r="C209" s="195"/>
      <c r="D209" s="195"/>
    </row>
    <row r="210" spans="1:4" x14ac:dyDescent="0.25">
      <c r="A210" s="195"/>
      <c r="B210" s="195"/>
      <c r="C210" s="195"/>
      <c r="D210" s="195"/>
    </row>
    <row r="211" spans="1:4" x14ac:dyDescent="0.25">
      <c r="A211" s="195"/>
      <c r="B211" s="195"/>
      <c r="C211" s="195"/>
      <c r="D211" s="195"/>
    </row>
    <row r="212" spans="1:4" x14ac:dyDescent="0.25">
      <c r="A212" s="195"/>
      <c r="B212" s="195"/>
      <c r="C212" s="195"/>
      <c r="D212" s="195"/>
    </row>
    <row r="213" spans="1:4" x14ac:dyDescent="0.25">
      <c r="A213" s="195"/>
      <c r="B213" s="195"/>
      <c r="C213" s="195"/>
      <c r="D213" s="195"/>
    </row>
    <row r="214" spans="1:4" x14ac:dyDescent="0.25">
      <c r="A214" s="195"/>
      <c r="B214" s="195"/>
      <c r="C214" s="195"/>
      <c r="D214" s="195"/>
    </row>
    <row r="215" spans="1:4" x14ac:dyDescent="0.25">
      <c r="A215" s="195"/>
      <c r="B215" s="195"/>
      <c r="C215" s="195"/>
      <c r="D215" s="195"/>
    </row>
    <row r="216" spans="1:4" x14ac:dyDescent="0.25">
      <c r="A216" s="195"/>
      <c r="B216" s="195"/>
      <c r="C216" s="195"/>
      <c r="D216" s="195"/>
    </row>
    <row r="217" spans="1:4" x14ac:dyDescent="0.25">
      <c r="A217" s="195"/>
      <c r="B217" s="195"/>
      <c r="C217" s="195"/>
      <c r="D217" s="195"/>
    </row>
    <row r="218" spans="1:4" x14ac:dyDescent="0.25">
      <c r="A218" s="195"/>
      <c r="B218" s="195"/>
      <c r="C218" s="195"/>
      <c r="D218" s="195"/>
    </row>
    <row r="219" spans="1:4" x14ac:dyDescent="0.25">
      <c r="A219" s="195"/>
      <c r="B219" s="195"/>
      <c r="C219" s="195"/>
      <c r="D219" s="195"/>
    </row>
    <row r="220" spans="1:4" x14ac:dyDescent="0.25">
      <c r="A220" s="195"/>
      <c r="B220" s="195"/>
      <c r="C220" s="195"/>
      <c r="D220" s="195"/>
    </row>
    <row r="221" spans="1:4" x14ac:dyDescent="0.25">
      <c r="A221" s="195"/>
      <c r="B221" s="195"/>
      <c r="C221" s="195"/>
      <c r="D221" s="195"/>
    </row>
    <row r="222" spans="1:4" x14ac:dyDescent="0.25">
      <c r="A222" s="195"/>
      <c r="B222" s="195"/>
      <c r="C222" s="195"/>
      <c r="D222" s="195"/>
    </row>
    <row r="223" spans="1:4" x14ac:dyDescent="0.25">
      <c r="A223" s="195"/>
      <c r="B223" s="195"/>
      <c r="C223" s="195"/>
      <c r="D223" s="195"/>
    </row>
    <row r="224" spans="1:4" x14ac:dyDescent="0.25">
      <c r="A224" s="195"/>
      <c r="B224" s="195"/>
      <c r="C224" s="195"/>
      <c r="D224" s="195"/>
    </row>
    <row r="225" spans="1:4" x14ac:dyDescent="0.25">
      <c r="A225" s="195"/>
      <c r="B225" s="195"/>
      <c r="C225" s="195"/>
      <c r="D225" s="195"/>
    </row>
    <row r="226" spans="1:4" x14ac:dyDescent="0.25">
      <c r="A226" s="195"/>
      <c r="B226" s="195"/>
      <c r="C226" s="195"/>
      <c r="D226" s="195"/>
    </row>
    <row r="227" spans="1:4" x14ac:dyDescent="0.25">
      <c r="A227" s="195"/>
      <c r="B227" s="195"/>
      <c r="C227" s="195"/>
      <c r="D227" s="195"/>
    </row>
    <row r="228" spans="1:4" x14ac:dyDescent="0.25">
      <c r="A228" s="195"/>
      <c r="B228" s="195"/>
      <c r="C228" s="195"/>
      <c r="D228" s="195"/>
    </row>
    <row r="229" spans="1:4" x14ac:dyDescent="0.25">
      <c r="A229" s="195"/>
      <c r="B229" s="195"/>
      <c r="C229" s="195"/>
      <c r="D229" s="195"/>
    </row>
    <row r="230" spans="1:4" x14ac:dyDescent="0.25">
      <c r="A230" s="195"/>
      <c r="B230" s="195"/>
      <c r="C230" s="195"/>
      <c r="D230" s="195"/>
    </row>
    <row r="231" spans="1:4" x14ac:dyDescent="0.25">
      <c r="A231" s="195"/>
      <c r="B231" s="195"/>
      <c r="C231" s="195"/>
      <c r="D231" s="195"/>
    </row>
    <row r="232" spans="1:4" x14ac:dyDescent="0.25">
      <c r="A232" s="195"/>
      <c r="B232" s="195"/>
      <c r="C232" s="195"/>
      <c r="D232" s="195"/>
    </row>
    <row r="233" spans="1:4" x14ac:dyDescent="0.25">
      <c r="A233" s="195"/>
      <c r="B233" s="195"/>
      <c r="C233" s="195"/>
      <c r="D233" s="195"/>
    </row>
    <row r="234" spans="1:4" x14ac:dyDescent="0.25">
      <c r="A234" s="195"/>
      <c r="B234" s="195"/>
      <c r="C234" s="195"/>
      <c r="D234" s="195"/>
    </row>
    <row r="235" spans="1:4" x14ac:dyDescent="0.25">
      <c r="A235" s="195"/>
      <c r="B235" s="195"/>
      <c r="C235" s="195"/>
      <c r="D235" s="195"/>
    </row>
    <row r="236" spans="1:4" x14ac:dyDescent="0.25">
      <c r="A236" s="195"/>
      <c r="B236" s="195"/>
      <c r="C236" s="195"/>
      <c r="D236" s="195"/>
    </row>
    <row r="237" spans="1:4" x14ac:dyDescent="0.25">
      <c r="A237" s="195"/>
      <c r="B237" s="195"/>
      <c r="C237" s="195"/>
      <c r="D237" s="195"/>
    </row>
    <row r="238" spans="1:4" x14ac:dyDescent="0.25">
      <c r="A238" s="195"/>
      <c r="B238" s="195"/>
      <c r="C238" s="195"/>
      <c r="D238" s="195"/>
    </row>
    <row r="239" spans="1:4" x14ac:dyDescent="0.25">
      <c r="A239" s="195"/>
      <c r="B239" s="195"/>
      <c r="C239" s="195"/>
      <c r="D239" s="195"/>
    </row>
    <row r="240" spans="1:4" x14ac:dyDescent="0.25">
      <c r="A240" s="195"/>
      <c r="B240" s="195"/>
      <c r="C240" s="195"/>
      <c r="D240" s="195"/>
    </row>
    <row r="241" spans="1:4" x14ac:dyDescent="0.25">
      <c r="A241" s="195"/>
      <c r="B241" s="195"/>
      <c r="C241" s="195"/>
      <c r="D241" s="195"/>
    </row>
    <row r="242" spans="1:4" x14ac:dyDescent="0.25">
      <c r="A242" s="195"/>
      <c r="B242" s="195"/>
      <c r="C242" s="195"/>
      <c r="D242" s="195"/>
    </row>
    <row r="243" spans="1:4" x14ac:dyDescent="0.25">
      <c r="A243" s="195"/>
      <c r="B243" s="195"/>
      <c r="C243" s="195"/>
      <c r="D243" s="195"/>
    </row>
    <row r="244" spans="1:4" x14ac:dyDescent="0.25">
      <c r="A244" s="195"/>
      <c r="B244" s="195"/>
      <c r="C244" s="195"/>
      <c r="D244" s="195"/>
    </row>
    <row r="245" spans="1:4" x14ac:dyDescent="0.25">
      <c r="A245" s="195"/>
      <c r="B245" s="195"/>
      <c r="C245" s="195"/>
      <c r="D245" s="195"/>
    </row>
    <row r="246" spans="1:4" x14ac:dyDescent="0.25">
      <c r="A246" s="195"/>
      <c r="B246" s="195"/>
      <c r="C246" s="195"/>
      <c r="D246" s="195"/>
    </row>
  </sheetData>
  <hyperlinks>
    <hyperlink ref="D1" location="'Index &amp; Instructions'!A1" display="HOME"/>
  </hyperlinks>
  <pageMargins left="0.22" right="0.17" top="1.3" bottom="0.47" header="0.3" footer="0.3"/>
  <pageSetup scale="80" orientation="landscape"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F2260"/>
  <sheetViews>
    <sheetView showGridLines="0" topLeftCell="B1" workbookViewId="0">
      <selection activeCell="B1" sqref="B1"/>
    </sheetView>
  </sheetViews>
  <sheetFormatPr defaultColWidth="9.109375" defaultRowHeight="25.2" outlineLevelRow="1" x14ac:dyDescent="0.6"/>
  <cols>
    <col min="1" max="1" width="12.109375" style="333" customWidth="1"/>
    <col min="2" max="2" width="4.33203125" style="613" customWidth="1"/>
    <col min="3" max="3" width="9.5546875" style="362" customWidth="1"/>
    <col min="4" max="4" width="12" style="361" customWidth="1"/>
    <col min="5" max="6" width="12" style="360" customWidth="1"/>
    <col min="7" max="7" width="12.33203125" style="361" customWidth="1"/>
    <col min="8" max="9" width="10.88671875" style="360" customWidth="1"/>
    <col min="10" max="10" width="11.88671875" style="361" customWidth="1"/>
    <col min="11" max="11" width="11.44140625" style="360" bestFit="1" customWidth="1"/>
    <col min="12" max="12" width="10.88671875" style="360" customWidth="1"/>
    <col min="13" max="13" width="4.109375" style="732" customWidth="1"/>
    <col min="14" max="14" width="3.5546875" style="330" customWidth="1"/>
    <col min="15" max="15" width="105.5546875" style="330" customWidth="1"/>
    <col min="16" max="16" width="4.5546875" style="330" customWidth="1"/>
    <col min="17" max="18" width="10.44140625" style="330" customWidth="1"/>
    <col min="19" max="19" width="11" style="330" customWidth="1"/>
    <col min="20" max="20" width="10.44140625" style="330" customWidth="1"/>
    <col min="21" max="31" width="10.44140625" style="332" customWidth="1"/>
    <col min="32" max="32" width="9.109375" style="331"/>
    <col min="33" max="16384" width="9.109375" style="330"/>
  </cols>
  <sheetData>
    <row r="1" spans="1:32" ht="48.75" customHeight="1" thickBot="1" x14ac:dyDescent="0.25">
      <c r="A1" s="887" t="s">
        <v>221</v>
      </c>
      <c r="B1" s="853" t="s">
        <v>204</v>
      </c>
      <c r="C1" s="424" t="s">
        <v>384</v>
      </c>
      <c r="D1" s="411" t="s">
        <v>383</v>
      </c>
      <c r="E1" s="438" t="s">
        <v>390</v>
      </c>
      <c r="F1" s="437" t="s">
        <v>389</v>
      </c>
      <c r="G1" s="838" t="s">
        <v>382</v>
      </c>
      <c r="H1" s="841" t="s">
        <v>388</v>
      </c>
      <c r="I1" s="842" t="s">
        <v>387</v>
      </c>
      <c r="J1" s="408" t="s">
        <v>381</v>
      </c>
      <c r="K1" s="436" t="s">
        <v>398</v>
      </c>
      <c r="L1" s="406" t="s">
        <v>399</v>
      </c>
      <c r="Q1" s="349" t="s">
        <v>384</v>
      </c>
      <c r="R1" s="348" t="s">
        <v>383</v>
      </c>
      <c r="S1" s="347" t="s">
        <v>382</v>
      </c>
      <c r="T1" s="346" t="s">
        <v>381</v>
      </c>
      <c r="U1" s="359"/>
      <c r="V1" s="359"/>
      <c r="W1" s="359"/>
      <c r="X1" s="359"/>
      <c r="Y1" s="359"/>
      <c r="Z1" s="359"/>
      <c r="AA1" s="359"/>
      <c r="AB1" s="359"/>
      <c r="AC1" s="359"/>
      <c r="AD1" s="359"/>
      <c r="AE1" s="359"/>
    </row>
    <row r="2" spans="1:32" s="353" customFormat="1" ht="15.75" hidden="1" customHeight="1" outlineLevel="1" x14ac:dyDescent="0.25">
      <c r="A2" s="888"/>
      <c r="B2" s="614" t="s">
        <v>22</v>
      </c>
      <c r="C2" s="435" t="s">
        <v>434</v>
      </c>
      <c r="D2" s="434">
        <f t="shared" ref="D2:D22" si="0">SUM(E2+F2)</f>
        <v>24997</v>
      </c>
      <c r="E2" s="433">
        <v>24997</v>
      </c>
      <c r="F2" s="432">
        <v>0</v>
      </c>
      <c r="G2" s="431">
        <f t="shared" ref="G2:G22" si="1">SUM(H2+I2)</f>
        <v>27789.65</v>
      </c>
      <c r="H2" s="430">
        <v>24308.95</v>
      </c>
      <c r="I2" s="429">
        <v>3480.7</v>
      </c>
      <c r="J2" s="431">
        <f t="shared" ref="J2:J22" si="2">SUM(K2:L2)</f>
        <v>32635.24</v>
      </c>
      <c r="K2" s="430">
        <v>32635.24</v>
      </c>
      <c r="L2" s="429">
        <v>0</v>
      </c>
      <c r="M2" s="733">
        <f t="shared" ref="M2:M10" si="3">SUM(K2:L2)</f>
        <v>32635.24</v>
      </c>
      <c r="N2" s="338"/>
      <c r="O2" s="338"/>
      <c r="P2" s="338"/>
      <c r="Q2" s="345" t="str">
        <f t="shared" ref="Q2:Q22" si="4">+C2</f>
        <v>1996</v>
      </c>
      <c r="R2" s="342">
        <f t="shared" ref="R2:R22" si="5">+D2</f>
        <v>24997</v>
      </c>
      <c r="S2" s="341">
        <f t="shared" ref="S2:S22" si="6">+G2</f>
        <v>27789.65</v>
      </c>
      <c r="T2" s="341">
        <f t="shared" ref="T2:T22" si="7">+J2</f>
        <v>32635.24</v>
      </c>
      <c r="U2" s="358"/>
      <c r="V2" s="358"/>
      <c r="W2" s="358"/>
      <c r="X2" s="358"/>
      <c r="Y2" s="358"/>
      <c r="Z2" s="358"/>
      <c r="AA2" s="358"/>
      <c r="AB2" s="358"/>
      <c r="AC2" s="358"/>
      <c r="AD2" s="358"/>
      <c r="AE2" s="358"/>
      <c r="AF2" s="354"/>
    </row>
    <row r="3" spans="1:32" s="353" customFormat="1" ht="15.75" hidden="1" customHeight="1" outlineLevel="1" x14ac:dyDescent="0.25">
      <c r="A3" s="888"/>
      <c r="B3" s="614" t="s">
        <v>22</v>
      </c>
      <c r="C3" s="399" t="s">
        <v>435</v>
      </c>
      <c r="D3" s="398">
        <f t="shared" si="0"/>
        <v>47800</v>
      </c>
      <c r="E3" s="397">
        <v>47800</v>
      </c>
      <c r="F3" s="396">
        <v>0</v>
      </c>
      <c r="G3" s="395">
        <f t="shared" si="1"/>
        <v>65152</v>
      </c>
      <c r="H3" s="394">
        <v>65152</v>
      </c>
      <c r="I3" s="393">
        <v>0</v>
      </c>
      <c r="J3" s="395">
        <f t="shared" si="2"/>
        <v>53674.25</v>
      </c>
      <c r="K3" s="394">
        <v>51497.34</v>
      </c>
      <c r="L3" s="393">
        <v>2176.91</v>
      </c>
      <c r="M3" s="733">
        <f t="shared" si="3"/>
        <v>53674.25</v>
      </c>
      <c r="N3" s="338"/>
      <c r="O3" s="338"/>
      <c r="P3" s="338"/>
      <c r="Q3" s="345" t="str">
        <f t="shared" si="4"/>
        <v>1997</v>
      </c>
      <c r="R3" s="342">
        <f t="shared" si="5"/>
        <v>47800</v>
      </c>
      <c r="S3" s="341">
        <f t="shared" si="6"/>
        <v>65152</v>
      </c>
      <c r="T3" s="341">
        <f t="shared" si="7"/>
        <v>53674.25</v>
      </c>
      <c r="U3" s="358"/>
      <c r="V3" s="358"/>
      <c r="W3" s="358"/>
      <c r="X3" s="358"/>
      <c r="Y3" s="358"/>
      <c r="Z3" s="358"/>
      <c r="AA3" s="358"/>
      <c r="AB3" s="358"/>
      <c r="AC3" s="358"/>
      <c r="AD3" s="358"/>
      <c r="AE3" s="358"/>
      <c r="AF3" s="354"/>
    </row>
    <row r="4" spans="1:32" s="353" customFormat="1" ht="15.75" hidden="1" customHeight="1" outlineLevel="1" x14ac:dyDescent="0.25">
      <c r="A4" s="888"/>
      <c r="B4" s="614" t="s">
        <v>22</v>
      </c>
      <c r="C4" s="399" t="s">
        <v>436</v>
      </c>
      <c r="D4" s="398">
        <f t="shared" si="0"/>
        <v>49985</v>
      </c>
      <c r="E4" s="397">
        <v>49985</v>
      </c>
      <c r="F4" s="396">
        <v>0</v>
      </c>
      <c r="G4" s="395">
        <f t="shared" si="1"/>
        <v>32420</v>
      </c>
      <c r="H4" s="394">
        <v>32420</v>
      </c>
      <c r="I4" s="393">
        <v>0</v>
      </c>
      <c r="J4" s="395">
        <f t="shared" si="2"/>
        <v>26796.720000000001</v>
      </c>
      <c r="K4" s="394">
        <v>26467.41</v>
      </c>
      <c r="L4" s="393">
        <v>329.31</v>
      </c>
      <c r="M4" s="733">
        <f t="shared" si="3"/>
        <v>26796.720000000001</v>
      </c>
      <c r="N4" s="338"/>
      <c r="O4" s="338"/>
      <c r="P4" s="338"/>
      <c r="Q4" s="345" t="str">
        <f t="shared" si="4"/>
        <v>1998</v>
      </c>
      <c r="R4" s="342">
        <f t="shared" si="5"/>
        <v>49985</v>
      </c>
      <c r="S4" s="341">
        <f t="shared" si="6"/>
        <v>32420</v>
      </c>
      <c r="T4" s="341">
        <f t="shared" si="7"/>
        <v>26796.720000000001</v>
      </c>
      <c r="U4" s="358">
        <v>66834.820000000007</v>
      </c>
      <c r="V4" s="358"/>
      <c r="W4" s="358"/>
      <c r="X4" s="358"/>
      <c r="Y4" s="358"/>
      <c r="Z4" s="358"/>
      <c r="AA4" s="358"/>
      <c r="AB4" s="358"/>
      <c r="AC4" s="358"/>
      <c r="AD4" s="358"/>
      <c r="AE4" s="358"/>
      <c r="AF4" s="354"/>
    </row>
    <row r="5" spans="1:32" s="353" customFormat="1" ht="15.75" hidden="1" customHeight="1" outlineLevel="1" x14ac:dyDescent="0.25">
      <c r="A5" s="888"/>
      <c r="B5" s="614" t="s">
        <v>22</v>
      </c>
      <c r="C5" s="389" t="s">
        <v>437</v>
      </c>
      <c r="D5" s="388">
        <f t="shared" si="0"/>
        <v>53380</v>
      </c>
      <c r="E5" s="386">
        <v>53380</v>
      </c>
      <c r="F5" s="381">
        <v>0</v>
      </c>
      <c r="G5" s="383">
        <f t="shared" si="1"/>
        <v>76224</v>
      </c>
      <c r="H5" s="384">
        <v>76224</v>
      </c>
      <c r="I5" s="392">
        <v>0</v>
      </c>
      <c r="J5" s="383">
        <f t="shared" si="2"/>
        <v>37817.43</v>
      </c>
      <c r="K5" s="384">
        <v>37705.82</v>
      </c>
      <c r="L5" s="392">
        <v>111.61</v>
      </c>
      <c r="M5" s="733">
        <f t="shared" si="3"/>
        <v>37817.43</v>
      </c>
      <c r="N5" s="338"/>
      <c r="O5" s="338"/>
      <c r="P5" s="338"/>
      <c r="Q5" s="345" t="str">
        <f t="shared" si="4"/>
        <v>1999</v>
      </c>
      <c r="R5" s="342">
        <f t="shared" si="5"/>
        <v>53380</v>
      </c>
      <c r="S5" s="341">
        <f t="shared" si="6"/>
        <v>76224</v>
      </c>
      <c r="T5" s="341">
        <f t="shared" si="7"/>
        <v>37817.43</v>
      </c>
      <c r="U5" s="357"/>
      <c r="V5" s="357"/>
      <c r="W5" s="357"/>
      <c r="X5" s="357"/>
      <c r="Y5" s="357"/>
      <c r="Z5" s="357"/>
      <c r="AA5" s="357"/>
      <c r="AB5" s="357"/>
      <c r="AC5" s="357"/>
      <c r="AD5" s="357"/>
      <c r="AE5" s="357"/>
      <c r="AF5" s="354"/>
    </row>
    <row r="6" spans="1:32" s="353" customFormat="1" ht="17.399999999999999" hidden="1" customHeight="1" outlineLevel="1" x14ac:dyDescent="0.25">
      <c r="A6" s="888"/>
      <c r="B6" s="614" t="s">
        <v>22</v>
      </c>
      <c r="C6" s="428" t="s">
        <v>283</v>
      </c>
      <c r="D6" s="388">
        <f t="shared" si="0"/>
        <v>78200</v>
      </c>
      <c r="E6" s="384">
        <v>75304</v>
      </c>
      <c r="F6" s="392">
        <v>2896</v>
      </c>
      <c r="G6" s="383">
        <f t="shared" si="1"/>
        <v>39366</v>
      </c>
      <c r="H6" s="384">
        <v>39366</v>
      </c>
      <c r="I6" s="392">
        <v>0</v>
      </c>
      <c r="J6" s="383">
        <f t="shared" si="2"/>
        <v>66834.820000000007</v>
      </c>
      <c r="K6" s="380">
        <v>66832.490000000005</v>
      </c>
      <c r="L6" s="379">
        <v>2.33</v>
      </c>
      <c r="M6" s="733">
        <f t="shared" si="3"/>
        <v>66834.820000000007</v>
      </c>
      <c r="N6" s="338"/>
      <c r="O6" s="338"/>
      <c r="P6" s="338"/>
      <c r="Q6" s="345" t="str">
        <f t="shared" si="4"/>
        <v>2000</v>
      </c>
      <c r="R6" s="342">
        <f t="shared" si="5"/>
        <v>78200</v>
      </c>
      <c r="S6" s="341">
        <f t="shared" si="6"/>
        <v>39366</v>
      </c>
      <c r="T6" s="341">
        <f t="shared" si="7"/>
        <v>66834.820000000007</v>
      </c>
      <c r="U6" s="355"/>
      <c r="V6" s="355"/>
      <c r="W6" s="355"/>
      <c r="X6" s="355"/>
      <c r="Y6" s="355"/>
      <c r="Z6" s="355"/>
      <c r="AA6" s="355"/>
      <c r="AB6" s="355"/>
      <c r="AC6" s="355"/>
      <c r="AD6" s="355"/>
      <c r="AE6" s="355"/>
      <c r="AF6" s="354"/>
    </row>
    <row r="7" spans="1:32" s="353" customFormat="1" ht="17.399999999999999" hidden="1" customHeight="1" outlineLevel="1" x14ac:dyDescent="0.25">
      <c r="A7" s="888"/>
      <c r="B7" s="614" t="s">
        <v>22</v>
      </c>
      <c r="C7" s="389" t="s">
        <v>284</v>
      </c>
      <c r="D7" s="388">
        <f t="shared" si="0"/>
        <v>79100</v>
      </c>
      <c r="E7" s="384">
        <v>76560.55</v>
      </c>
      <c r="F7" s="392">
        <v>2539.4499999999998</v>
      </c>
      <c r="G7" s="383">
        <f t="shared" si="1"/>
        <v>68087</v>
      </c>
      <c r="H7" s="384">
        <v>66155.22</v>
      </c>
      <c r="I7" s="392">
        <v>1931.78</v>
      </c>
      <c r="J7" s="383">
        <f t="shared" si="2"/>
        <v>60433.009999999995</v>
      </c>
      <c r="K7" s="380">
        <v>60208.42</v>
      </c>
      <c r="L7" s="379">
        <v>224.59</v>
      </c>
      <c r="M7" s="733">
        <f t="shared" si="3"/>
        <v>60433.009999999995</v>
      </c>
      <c r="N7" s="338"/>
      <c r="O7" s="338"/>
      <c r="P7" s="338"/>
      <c r="Q7" s="343" t="str">
        <f t="shared" si="4"/>
        <v>2001</v>
      </c>
      <c r="R7" s="342">
        <f t="shared" si="5"/>
        <v>79100</v>
      </c>
      <c r="S7" s="341">
        <f t="shared" si="6"/>
        <v>68087</v>
      </c>
      <c r="T7" s="341">
        <f t="shared" si="7"/>
        <v>60433.009999999995</v>
      </c>
      <c r="U7" s="355"/>
      <c r="V7" s="355"/>
      <c r="W7" s="355"/>
      <c r="X7" s="355"/>
      <c r="Y7" s="355"/>
      <c r="Z7" s="355"/>
      <c r="AA7" s="355"/>
      <c r="AB7" s="355"/>
      <c r="AC7" s="355"/>
      <c r="AD7" s="355"/>
      <c r="AE7" s="355"/>
      <c r="AF7" s="354"/>
    </row>
    <row r="8" spans="1:32" s="353" customFormat="1" ht="17.399999999999999" hidden="1" customHeight="1" outlineLevel="1" x14ac:dyDescent="0.25">
      <c r="A8" s="888"/>
      <c r="B8" s="614" t="s">
        <v>22</v>
      </c>
      <c r="C8" s="389" t="s">
        <v>285</v>
      </c>
      <c r="D8" s="388">
        <f t="shared" si="0"/>
        <v>82900</v>
      </c>
      <c r="E8" s="384">
        <v>82900</v>
      </c>
      <c r="F8" s="392">
        <v>0</v>
      </c>
      <c r="G8" s="383">
        <f t="shared" si="1"/>
        <v>79503</v>
      </c>
      <c r="H8" s="384">
        <v>79503</v>
      </c>
      <c r="I8" s="392">
        <v>0</v>
      </c>
      <c r="J8" s="383">
        <f t="shared" si="2"/>
        <v>61939.719999999994</v>
      </c>
      <c r="K8" s="380">
        <v>61724.88</v>
      </c>
      <c r="L8" s="379">
        <v>214.84</v>
      </c>
      <c r="M8" s="733">
        <f t="shared" si="3"/>
        <v>61939.719999999994</v>
      </c>
      <c r="N8" s="338"/>
      <c r="O8" s="338"/>
      <c r="P8" s="338"/>
      <c r="Q8" s="343" t="str">
        <f t="shared" si="4"/>
        <v>2002</v>
      </c>
      <c r="R8" s="342">
        <f t="shared" si="5"/>
        <v>82900</v>
      </c>
      <c r="S8" s="341">
        <f t="shared" si="6"/>
        <v>79503</v>
      </c>
      <c r="T8" s="341">
        <f t="shared" si="7"/>
        <v>61939.719999999994</v>
      </c>
      <c r="U8" s="355"/>
      <c r="V8" s="355"/>
      <c r="W8" s="355"/>
      <c r="X8" s="355"/>
      <c r="Y8" s="355"/>
      <c r="Z8" s="355"/>
      <c r="AA8" s="355"/>
      <c r="AB8" s="355"/>
      <c r="AC8" s="355"/>
      <c r="AD8" s="355"/>
      <c r="AE8" s="355"/>
      <c r="AF8" s="354"/>
    </row>
    <row r="9" spans="1:32" s="353" customFormat="1" ht="17.399999999999999" hidden="1" customHeight="1" outlineLevel="1" x14ac:dyDescent="0.25">
      <c r="A9" s="888"/>
      <c r="B9" s="614" t="s">
        <v>22</v>
      </c>
      <c r="C9" s="389" t="s">
        <v>286</v>
      </c>
      <c r="D9" s="388">
        <f t="shared" si="0"/>
        <v>61000</v>
      </c>
      <c r="E9" s="384">
        <v>61000</v>
      </c>
      <c r="F9" s="392">
        <v>0</v>
      </c>
      <c r="G9" s="383">
        <f t="shared" si="1"/>
        <v>88366</v>
      </c>
      <c r="H9" s="384">
        <v>87072.34</v>
      </c>
      <c r="I9" s="392">
        <v>1293.6600000000001</v>
      </c>
      <c r="J9" s="383">
        <f t="shared" si="2"/>
        <v>108543.37</v>
      </c>
      <c r="K9" s="380">
        <v>106920.17</v>
      </c>
      <c r="L9" s="379">
        <v>1623.2</v>
      </c>
      <c r="M9" s="733">
        <f t="shared" si="3"/>
        <v>108543.37</v>
      </c>
      <c r="N9" s="338"/>
      <c r="O9" s="338"/>
      <c r="P9" s="338"/>
      <c r="Q9" s="343" t="str">
        <f t="shared" si="4"/>
        <v>2003</v>
      </c>
      <c r="R9" s="342">
        <f t="shared" si="5"/>
        <v>61000</v>
      </c>
      <c r="S9" s="341">
        <f t="shared" si="6"/>
        <v>88366</v>
      </c>
      <c r="T9" s="341">
        <f t="shared" si="7"/>
        <v>108543.37</v>
      </c>
      <c r="U9" s="355"/>
      <c r="V9" s="355"/>
      <c r="W9" s="355"/>
      <c r="X9" s="355"/>
      <c r="Y9" s="355"/>
      <c r="Z9" s="355"/>
      <c r="AA9" s="355"/>
      <c r="AB9" s="355"/>
      <c r="AC9" s="355"/>
      <c r="AD9" s="355"/>
      <c r="AE9" s="355"/>
      <c r="AF9" s="354"/>
    </row>
    <row r="10" spans="1:32" s="353" customFormat="1" ht="17.399999999999999" hidden="1" customHeight="1" outlineLevel="1" x14ac:dyDescent="0.25">
      <c r="A10" s="888"/>
      <c r="B10" s="614" t="s">
        <v>22</v>
      </c>
      <c r="C10" s="389" t="s">
        <v>287</v>
      </c>
      <c r="D10" s="388">
        <f t="shared" si="0"/>
        <v>69300</v>
      </c>
      <c r="E10" s="384">
        <v>69300</v>
      </c>
      <c r="F10" s="392">
        <v>0</v>
      </c>
      <c r="G10" s="383">
        <f t="shared" si="1"/>
        <v>103454</v>
      </c>
      <c r="H10" s="384">
        <v>103202.88</v>
      </c>
      <c r="I10" s="392">
        <v>251.12</v>
      </c>
      <c r="J10" s="383">
        <f t="shared" si="2"/>
        <v>79378.710000000006</v>
      </c>
      <c r="K10" s="380">
        <v>78397.19</v>
      </c>
      <c r="L10" s="379">
        <v>981.52</v>
      </c>
      <c r="M10" s="733">
        <f t="shared" si="3"/>
        <v>79378.710000000006</v>
      </c>
      <c r="N10" s="338"/>
      <c r="O10" s="338"/>
      <c r="P10" s="338"/>
      <c r="Q10" s="343" t="str">
        <f t="shared" si="4"/>
        <v>2004</v>
      </c>
      <c r="R10" s="342">
        <f t="shared" si="5"/>
        <v>69300</v>
      </c>
      <c r="S10" s="341">
        <f t="shared" si="6"/>
        <v>103454</v>
      </c>
      <c r="T10" s="341">
        <f t="shared" si="7"/>
        <v>79378.710000000006</v>
      </c>
      <c r="U10" s="355"/>
      <c r="V10" s="355"/>
      <c r="W10" s="355"/>
      <c r="X10" s="355"/>
      <c r="Y10" s="355"/>
      <c r="Z10" s="355"/>
      <c r="AA10" s="355"/>
      <c r="AB10" s="355"/>
      <c r="AC10" s="355"/>
      <c r="AD10" s="355"/>
      <c r="AE10" s="355"/>
      <c r="AF10" s="354"/>
    </row>
    <row r="11" spans="1:32" s="353" customFormat="1" ht="17.399999999999999" hidden="1" customHeight="1" outlineLevel="1" x14ac:dyDescent="0.25">
      <c r="A11" s="888"/>
      <c r="B11" s="614" t="s">
        <v>22</v>
      </c>
      <c r="C11" s="389" t="s">
        <v>288</v>
      </c>
      <c r="D11" s="388">
        <f t="shared" si="0"/>
        <v>70912</v>
      </c>
      <c r="E11" s="384">
        <v>70912</v>
      </c>
      <c r="F11" s="392">
        <v>0</v>
      </c>
      <c r="G11" s="383">
        <f t="shared" si="1"/>
        <v>65873</v>
      </c>
      <c r="H11" s="384">
        <v>65873</v>
      </c>
      <c r="I11" s="392">
        <v>0</v>
      </c>
      <c r="J11" s="383">
        <f t="shared" si="2"/>
        <v>85581.989999999991</v>
      </c>
      <c r="K11" s="380">
        <v>84803.87</v>
      </c>
      <c r="L11" s="379">
        <v>778.12</v>
      </c>
      <c r="M11" s="733"/>
      <c r="N11" s="338"/>
      <c r="O11" s="338"/>
      <c r="P11" s="338"/>
      <c r="Q11" s="343" t="str">
        <f t="shared" si="4"/>
        <v>2005</v>
      </c>
      <c r="R11" s="342">
        <f t="shared" si="5"/>
        <v>70912</v>
      </c>
      <c r="S11" s="341">
        <f t="shared" si="6"/>
        <v>65873</v>
      </c>
      <c r="T11" s="341">
        <f t="shared" si="7"/>
        <v>85581.989999999991</v>
      </c>
      <c r="U11" s="355"/>
      <c r="V11" s="355"/>
      <c r="W11" s="355"/>
      <c r="X11" s="355"/>
      <c r="Y11" s="355"/>
      <c r="Z11" s="355"/>
      <c r="AA11" s="355"/>
      <c r="AB11" s="355"/>
      <c r="AC11" s="355"/>
      <c r="AD11" s="355"/>
      <c r="AE11" s="355"/>
      <c r="AF11" s="354"/>
    </row>
    <row r="12" spans="1:32" s="353" customFormat="1" ht="17.399999999999999" customHeight="1" collapsed="1" x14ac:dyDescent="0.25">
      <c r="A12" s="888"/>
      <c r="B12" s="614" t="s">
        <v>22</v>
      </c>
      <c r="C12" s="389" t="s">
        <v>289</v>
      </c>
      <c r="D12" s="824">
        <f t="shared" si="0"/>
        <v>75902</v>
      </c>
      <c r="E12" s="796">
        <v>75181.2</v>
      </c>
      <c r="F12" s="797">
        <v>720.8</v>
      </c>
      <c r="G12" s="827">
        <f t="shared" si="1"/>
        <v>79583</v>
      </c>
      <c r="H12" s="804">
        <v>78872.600000000006</v>
      </c>
      <c r="I12" s="805">
        <v>710.4</v>
      </c>
      <c r="J12" s="827">
        <f t="shared" si="2"/>
        <v>82955.01999999999</v>
      </c>
      <c r="K12" s="380">
        <v>82894.179999999993</v>
      </c>
      <c r="L12" s="379">
        <v>60.84</v>
      </c>
      <c r="M12" s="733"/>
      <c r="N12" s="338"/>
      <c r="O12" s="338"/>
      <c r="P12" s="338"/>
      <c r="Q12" s="343" t="str">
        <f t="shared" si="4"/>
        <v>2006</v>
      </c>
      <c r="R12" s="342">
        <f t="shared" si="5"/>
        <v>75902</v>
      </c>
      <c r="S12" s="341">
        <f t="shared" si="6"/>
        <v>79583</v>
      </c>
      <c r="T12" s="341">
        <f t="shared" si="7"/>
        <v>82955.01999999999</v>
      </c>
      <c r="U12" s="355"/>
      <c r="V12" s="355"/>
      <c r="W12" s="355"/>
      <c r="X12" s="355"/>
      <c r="Y12" s="355"/>
      <c r="Z12" s="355"/>
      <c r="AA12" s="355"/>
      <c r="AB12" s="355"/>
      <c r="AC12" s="355"/>
      <c r="AD12" s="355"/>
      <c r="AE12" s="355"/>
      <c r="AF12" s="354"/>
    </row>
    <row r="13" spans="1:32" s="353" customFormat="1" ht="17.399999999999999" customHeight="1" x14ac:dyDescent="0.25">
      <c r="A13" s="888"/>
      <c r="B13" s="614" t="s">
        <v>22</v>
      </c>
      <c r="C13" s="389" t="s">
        <v>290</v>
      </c>
      <c r="D13" s="824">
        <f t="shared" si="0"/>
        <v>61400</v>
      </c>
      <c r="E13" s="796">
        <v>59528</v>
      </c>
      <c r="F13" s="797">
        <v>1872</v>
      </c>
      <c r="G13" s="827">
        <f t="shared" si="1"/>
        <v>92793</v>
      </c>
      <c r="H13" s="804">
        <v>92793</v>
      </c>
      <c r="I13" s="805">
        <v>0</v>
      </c>
      <c r="J13" s="827">
        <f t="shared" si="2"/>
        <v>68833.16</v>
      </c>
      <c r="K13" s="380">
        <v>68400.47</v>
      </c>
      <c r="L13" s="379">
        <v>432.69</v>
      </c>
      <c r="M13" s="733"/>
      <c r="N13" s="338"/>
      <c r="O13" s="338"/>
      <c r="P13" s="338"/>
      <c r="Q13" s="343" t="str">
        <f t="shared" si="4"/>
        <v>2007</v>
      </c>
      <c r="R13" s="342">
        <f t="shared" si="5"/>
        <v>61400</v>
      </c>
      <c r="S13" s="341">
        <f t="shared" si="6"/>
        <v>92793</v>
      </c>
      <c r="T13" s="341">
        <f t="shared" si="7"/>
        <v>68833.16</v>
      </c>
      <c r="U13" s="355"/>
      <c r="V13" s="355"/>
      <c r="W13" s="355"/>
      <c r="X13" s="355"/>
      <c r="Y13" s="355"/>
      <c r="Z13" s="355"/>
      <c r="AA13" s="355"/>
      <c r="AB13" s="355"/>
      <c r="AC13" s="355"/>
      <c r="AD13" s="355"/>
      <c r="AE13" s="355"/>
      <c r="AF13" s="354"/>
    </row>
    <row r="14" spans="1:32" s="353" customFormat="1" ht="17.399999999999999" customHeight="1" x14ac:dyDescent="0.25">
      <c r="A14" s="888"/>
      <c r="B14" s="614" t="s">
        <v>22</v>
      </c>
      <c r="C14" s="389" t="s">
        <v>291</v>
      </c>
      <c r="D14" s="824">
        <f t="shared" si="0"/>
        <v>50000</v>
      </c>
      <c r="E14" s="796">
        <v>49640</v>
      </c>
      <c r="F14" s="797">
        <v>360</v>
      </c>
      <c r="G14" s="827">
        <f t="shared" si="1"/>
        <v>79168</v>
      </c>
      <c r="H14" s="804">
        <v>75437</v>
      </c>
      <c r="I14" s="805">
        <v>3731</v>
      </c>
      <c r="J14" s="827">
        <f t="shared" si="2"/>
        <v>82748</v>
      </c>
      <c r="K14" s="380">
        <v>80479</v>
      </c>
      <c r="L14" s="379">
        <v>2269</v>
      </c>
      <c r="M14" s="733"/>
      <c r="N14" s="338"/>
      <c r="O14" s="338"/>
      <c r="P14" s="338"/>
      <c r="Q14" s="343" t="str">
        <f t="shared" si="4"/>
        <v>2008</v>
      </c>
      <c r="R14" s="342">
        <f t="shared" si="5"/>
        <v>50000</v>
      </c>
      <c r="S14" s="341">
        <f t="shared" si="6"/>
        <v>79168</v>
      </c>
      <c r="T14" s="341">
        <f t="shared" si="7"/>
        <v>82748</v>
      </c>
      <c r="U14" s="355"/>
      <c r="V14" s="355"/>
      <c r="W14" s="355"/>
      <c r="X14" s="355"/>
      <c r="Y14" s="355"/>
      <c r="Z14" s="355"/>
      <c r="AA14" s="355"/>
      <c r="AB14" s="355"/>
      <c r="AC14" s="355"/>
      <c r="AD14" s="355"/>
      <c r="AE14" s="355"/>
      <c r="AF14" s="354"/>
    </row>
    <row r="15" spans="1:32" s="353" customFormat="1" ht="17.399999999999999" customHeight="1" x14ac:dyDescent="0.25">
      <c r="A15" s="888"/>
      <c r="B15" s="614" t="s">
        <v>22</v>
      </c>
      <c r="C15" s="389" t="s">
        <v>292</v>
      </c>
      <c r="D15" s="824">
        <f t="shared" si="0"/>
        <v>77557</v>
      </c>
      <c r="E15" s="796">
        <v>77557</v>
      </c>
      <c r="F15" s="797">
        <v>0</v>
      </c>
      <c r="G15" s="827">
        <f t="shared" si="1"/>
        <v>70825</v>
      </c>
      <c r="H15" s="804">
        <v>70825</v>
      </c>
      <c r="I15" s="805">
        <v>0</v>
      </c>
      <c r="J15" s="827">
        <f t="shared" si="2"/>
        <v>97317.33</v>
      </c>
      <c r="K15" s="380">
        <v>96181.46</v>
      </c>
      <c r="L15" s="379">
        <v>1135.8699999999999</v>
      </c>
      <c r="M15" s="733"/>
      <c r="N15" s="338"/>
      <c r="O15" s="338"/>
      <c r="P15" s="338"/>
      <c r="Q15" s="343" t="str">
        <f t="shared" si="4"/>
        <v>2009</v>
      </c>
      <c r="R15" s="342">
        <f t="shared" si="5"/>
        <v>77557</v>
      </c>
      <c r="S15" s="341">
        <f t="shared" si="6"/>
        <v>70825</v>
      </c>
      <c r="T15" s="341">
        <f t="shared" si="7"/>
        <v>97317.33</v>
      </c>
      <c r="U15" s="355"/>
      <c r="V15" s="355"/>
      <c r="W15" s="355"/>
      <c r="X15" s="355"/>
      <c r="Y15" s="355"/>
      <c r="Z15" s="355"/>
      <c r="AA15" s="355"/>
      <c r="AB15" s="355"/>
      <c r="AC15" s="355"/>
      <c r="AD15" s="355"/>
      <c r="AE15" s="355"/>
      <c r="AF15" s="354"/>
    </row>
    <row r="16" spans="1:32" s="353" customFormat="1" ht="17.399999999999999" customHeight="1" x14ac:dyDescent="0.25">
      <c r="A16" s="888"/>
      <c r="B16" s="614" t="s">
        <v>22</v>
      </c>
      <c r="C16" s="389" t="s">
        <v>293</v>
      </c>
      <c r="D16" s="824">
        <f t="shared" si="0"/>
        <v>61000</v>
      </c>
      <c r="E16" s="796">
        <v>61000</v>
      </c>
      <c r="F16" s="797">
        <v>0</v>
      </c>
      <c r="G16" s="827">
        <f t="shared" si="1"/>
        <v>58787</v>
      </c>
      <c r="H16" s="804">
        <v>58787</v>
      </c>
      <c r="I16" s="805">
        <v>0</v>
      </c>
      <c r="J16" s="827">
        <f t="shared" si="2"/>
        <v>82201</v>
      </c>
      <c r="K16" s="380">
        <v>81365</v>
      </c>
      <c r="L16" s="379">
        <v>836</v>
      </c>
      <c r="M16" s="733"/>
      <c r="N16" s="338"/>
      <c r="O16" s="338"/>
      <c r="P16" s="338"/>
      <c r="Q16" s="343" t="str">
        <f t="shared" si="4"/>
        <v>2010</v>
      </c>
      <c r="R16" s="342">
        <f t="shared" si="5"/>
        <v>61000</v>
      </c>
      <c r="S16" s="341">
        <f t="shared" si="6"/>
        <v>58787</v>
      </c>
      <c r="T16" s="341">
        <f t="shared" si="7"/>
        <v>82201</v>
      </c>
      <c r="U16" s="355"/>
      <c r="V16" s="355"/>
      <c r="W16" s="355"/>
      <c r="X16" s="355"/>
      <c r="Y16" s="355"/>
      <c r="Z16" s="355"/>
      <c r="AA16" s="355"/>
      <c r="AB16" s="355"/>
      <c r="AC16" s="355"/>
      <c r="AD16" s="355"/>
      <c r="AE16" s="355"/>
      <c r="AF16" s="354"/>
    </row>
    <row r="17" spans="1:32" s="353" customFormat="1" ht="17.399999999999999" customHeight="1" x14ac:dyDescent="0.25">
      <c r="A17" s="888"/>
      <c r="B17" s="614" t="s">
        <v>22</v>
      </c>
      <c r="C17" s="427" t="s">
        <v>294</v>
      </c>
      <c r="D17" s="825">
        <f t="shared" si="0"/>
        <v>61490.5</v>
      </c>
      <c r="E17" s="820">
        <v>61150</v>
      </c>
      <c r="F17" s="821">
        <v>340.5</v>
      </c>
      <c r="G17" s="828">
        <f t="shared" si="1"/>
        <v>59578</v>
      </c>
      <c r="H17" s="822">
        <v>59287</v>
      </c>
      <c r="I17" s="823">
        <v>291</v>
      </c>
      <c r="J17" s="828">
        <f t="shared" si="2"/>
        <v>54789</v>
      </c>
      <c r="K17" s="426">
        <v>54652</v>
      </c>
      <c r="L17" s="425">
        <v>137</v>
      </c>
      <c r="M17" s="733"/>
      <c r="N17" s="338"/>
      <c r="O17" s="338"/>
      <c r="P17" s="338"/>
      <c r="Q17" s="352" t="str">
        <f t="shared" si="4"/>
        <v>2011</v>
      </c>
      <c r="R17" s="351">
        <f t="shared" si="5"/>
        <v>61490.5</v>
      </c>
      <c r="S17" s="356">
        <f t="shared" si="6"/>
        <v>59578</v>
      </c>
      <c r="T17" s="356">
        <f t="shared" si="7"/>
        <v>54789</v>
      </c>
      <c r="U17" s="355"/>
      <c r="V17" s="355"/>
      <c r="W17" s="355"/>
      <c r="X17" s="355"/>
      <c r="Y17" s="355"/>
      <c r="Z17" s="355"/>
      <c r="AA17" s="355"/>
      <c r="AB17" s="355"/>
      <c r="AC17" s="355"/>
      <c r="AD17" s="355"/>
      <c r="AE17" s="355"/>
      <c r="AF17" s="354"/>
    </row>
    <row r="18" spans="1:32" s="353" customFormat="1" ht="17.399999999999999" customHeight="1" x14ac:dyDescent="0.25">
      <c r="A18" s="888"/>
      <c r="B18" s="614" t="s">
        <v>22</v>
      </c>
      <c r="C18" s="423" t="s">
        <v>295</v>
      </c>
      <c r="D18" s="826">
        <f t="shared" si="0"/>
        <v>71824</v>
      </c>
      <c r="E18" s="816">
        <v>71824</v>
      </c>
      <c r="F18" s="817">
        <v>0</v>
      </c>
      <c r="G18" s="829">
        <f t="shared" si="1"/>
        <v>70275</v>
      </c>
      <c r="H18" s="818">
        <v>70275</v>
      </c>
      <c r="I18" s="819">
        <v>0</v>
      </c>
      <c r="J18" s="829">
        <f t="shared" si="2"/>
        <v>47729.34</v>
      </c>
      <c r="K18" s="422">
        <v>47491.59</v>
      </c>
      <c r="L18" s="421">
        <v>237.75</v>
      </c>
      <c r="M18" s="733"/>
      <c r="N18" s="338"/>
      <c r="O18" s="338"/>
      <c r="P18" s="338"/>
      <c r="Q18" s="352" t="str">
        <f t="shared" si="4"/>
        <v>2012</v>
      </c>
      <c r="R18" s="351">
        <f t="shared" si="5"/>
        <v>71824</v>
      </c>
      <c r="S18" s="356">
        <f t="shared" si="6"/>
        <v>70275</v>
      </c>
      <c r="T18" s="356">
        <f t="shared" si="7"/>
        <v>47729.34</v>
      </c>
      <c r="U18" s="355"/>
      <c r="V18" s="355"/>
      <c r="W18" s="355"/>
      <c r="X18" s="355"/>
      <c r="Y18" s="355"/>
      <c r="Z18" s="355"/>
      <c r="AA18" s="355"/>
      <c r="AB18" s="355"/>
      <c r="AC18" s="355"/>
      <c r="AD18" s="355"/>
      <c r="AE18" s="355"/>
      <c r="AF18" s="354"/>
    </row>
    <row r="19" spans="1:32" s="353" customFormat="1" ht="17.399999999999999" customHeight="1" x14ac:dyDescent="0.25">
      <c r="A19" s="888"/>
      <c r="B19" s="614" t="s">
        <v>22</v>
      </c>
      <c r="C19" s="423" t="s">
        <v>296</v>
      </c>
      <c r="D19" s="826">
        <f t="shared" si="0"/>
        <v>68500</v>
      </c>
      <c r="E19" s="816">
        <v>68320</v>
      </c>
      <c r="F19" s="817">
        <v>180</v>
      </c>
      <c r="G19" s="829">
        <f t="shared" si="1"/>
        <v>75708</v>
      </c>
      <c r="H19" s="818">
        <v>75543.81</v>
      </c>
      <c r="I19" s="819">
        <v>164.19</v>
      </c>
      <c r="J19" s="829">
        <f t="shared" si="2"/>
        <v>76446.040000000008</v>
      </c>
      <c r="K19" s="422">
        <v>76419.740000000005</v>
      </c>
      <c r="L19" s="421">
        <v>26.3</v>
      </c>
      <c r="M19" s="733"/>
      <c r="N19" s="338"/>
      <c r="O19" s="338"/>
      <c r="P19" s="338"/>
      <c r="Q19" s="352" t="str">
        <f t="shared" si="4"/>
        <v>2013</v>
      </c>
      <c r="R19" s="351">
        <f t="shared" si="5"/>
        <v>68500</v>
      </c>
      <c r="S19" s="356">
        <f t="shared" si="6"/>
        <v>75708</v>
      </c>
      <c r="T19" s="356">
        <f t="shared" si="7"/>
        <v>76446.040000000008</v>
      </c>
      <c r="U19" s="355"/>
      <c r="V19" s="355"/>
      <c r="W19" s="355"/>
      <c r="X19" s="355"/>
      <c r="Y19" s="355"/>
      <c r="Z19" s="355"/>
      <c r="AA19" s="355"/>
      <c r="AB19" s="355"/>
      <c r="AC19" s="355"/>
      <c r="AD19" s="355"/>
      <c r="AE19" s="355"/>
      <c r="AF19" s="354"/>
    </row>
    <row r="20" spans="1:32" s="353" customFormat="1" ht="17.399999999999999" customHeight="1" x14ac:dyDescent="0.25">
      <c r="A20" s="888"/>
      <c r="B20" s="614" t="s">
        <v>22</v>
      </c>
      <c r="C20" s="423" t="s">
        <v>297</v>
      </c>
      <c r="D20" s="826">
        <f t="shared" si="0"/>
        <v>64948</v>
      </c>
      <c r="E20" s="816">
        <v>64948</v>
      </c>
      <c r="F20" s="817">
        <v>0</v>
      </c>
      <c r="G20" s="829">
        <f t="shared" si="1"/>
        <v>73096</v>
      </c>
      <c r="H20" s="818">
        <v>73096</v>
      </c>
      <c r="I20" s="819">
        <v>0</v>
      </c>
      <c r="J20" s="829">
        <f t="shared" si="2"/>
        <v>60912.06</v>
      </c>
      <c r="K20" s="422">
        <v>60902.99</v>
      </c>
      <c r="L20" s="421">
        <v>9.07</v>
      </c>
      <c r="M20" s="733"/>
      <c r="N20" s="338"/>
      <c r="O20" s="338"/>
      <c r="P20" s="338"/>
      <c r="Q20" s="352" t="str">
        <f t="shared" si="4"/>
        <v>2014</v>
      </c>
      <c r="R20" s="351">
        <f t="shared" si="5"/>
        <v>64948</v>
      </c>
      <c r="S20" s="356">
        <f t="shared" si="6"/>
        <v>73096</v>
      </c>
      <c r="T20" s="356">
        <f t="shared" si="7"/>
        <v>60912.06</v>
      </c>
      <c r="U20" s="355"/>
      <c r="V20" s="355"/>
      <c r="W20" s="355"/>
      <c r="X20" s="355"/>
      <c r="Y20" s="355"/>
      <c r="Z20" s="355"/>
      <c r="AA20" s="355"/>
      <c r="AB20" s="355"/>
      <c r="AC20" s="355"/>
      <c r="AD20" s="355"/>
      <c r="AE20" s="355"/>
      <c r="AF20" s="354"/>
    </row>
    <row r="21" spans="1:32" s="353" customFormat="1" ht="17.399999999999999" customHeight="1" x14ac:dyDescent="0.25">
      <c r="A21" s="888"/>
      <c r="B21" s="614" t="s">
        <v>22</v>
      </c>
      <c r="C21" s="423" t="s">
        <v>298</v>
      </c>
      <c r="D21" s="825">
        <f t="shared" si="0"/>
        <v>73030</v>
      </c>
      <c r="E21" s="816">
        <v>72231</v>
      </c>
      <c r="F21" s="817">
        <v>799</v>
      </c>
      <c r="G21" s="829">
        <f t="shared" si="1"/>
        <v>78600.700000000012</v>
      </c>
      <c r="H21" s="818">
        <v>77510.320000000007</v>
      </c>
      <c r="I21" s="819">
        <v>1090.3800000000001</v>
      </c>
      <c r="J21" s="828">
        <f t="shared" si="2"/>
        <v>79677.8</v>
      </c>
      <c r="K21" s="422">
        <v>79508.740000000005</v>
      </c>
      <c r="L21" s="421">
        <v>169.06</v>
      </c>
      <c r="M21" s="733"/>
      <c r="N21" s="338"/>
      <c r="O21" s="338"/>
      <c r="P21" s="338"/>
      <c r="Q21" s="352" t="str">
        <f t="shared" si="4"/>
        <v>2015</v>
      </c>
      <c r="R21" s="351">
        <f t="shared" si="5"/>
        <v>73030</v>
      </c>
      <c r="S21" s="356">
        <f t="shared" si="6"/>
        <v>78600.700000000012</v>
      </c>
      <c r="T21" s="356">
        <f t="shared" si="7"/>
        <v>79677.8</v>
      </c>
      <c r="U21" s="355"/>
      <c r="V21" s="355"/>
      <c r="W21" s="355"/>
      <c r="X21" s="355"/>
      <c r="Y21" s="355"/>
      <c r="Z21" s="355"/>
      <c r="AA21" s="355"/>
      <c r="AB21" s="355"/>
      <c r="AC21" s="355"/>
      <c r="AD21" s="355"/>
      <c r="AE21" s="355"/>
      <c r="AF21" s="354"/>
    </row>
    <row r="22" spans="1:32" s="353" customFormat="1" ht="17.399999999999999" customHeight="1" thickBot="1" x14ac:dyDescent="0.3">
      <c r="A22" s="889"/>
      <c r="B22" s="614" t="s">
        <v>22</v>
      </c>
      <c r="C22" s="423" t="s">
        <v>438</v>
      </c>
      <c r="D22" s="826">
        <f t="shared" si="0"/>
        <v>74254</v>
      </c>
      <c r="E22" s="816">
        <v>74254</v>
      </c>
      <c r="F22" s="817">
        <v>0</v>
      </c>
      <c r="G22" s="829">
        <f t="shared" si="1"/>
        <v>0</v>
      </c>
      <c r="H22" s="818"/>
      <c r="I22" s="819"/>
      <c r="J22" s="829">
        <f t="shared" si="2"/>
        <v>0</v>
      </c>
      <c r="K22" s="422"/>
      <c r="L22" s="421"/>
      <c r="M22" s="733"/>
      <c r="N22" s="338"/>
      <c r="O22" s="338"/>
      <c r="P22" s="338"/>
      <c r="Q22" s="352" t="str">
        <f t="shared" si="4"/>
        <v>2016</v>
      </c>
      <c r="R22" s="351">
        <f t="shared" si="5"/>
        <v>74254</v>
      </c>
      <c r="S22" s="356">
        <f t="shared" si="6"/>
        <v>0</v>
      </c>
      <c r="T22" s="356">
        <f t="shared" si="7"/>
        <v>0</v>
      </c>
      <c r="U22" s="355"/>
      <c r="V22" s="355"/>
      <c r="W22" s="355"/>
      <c r="X22" s="355"/>
      <c r="Y22" s="355"/>
      <c r="Z22" s="355"/>
      <c r="AA22" s="355"/>
      <c r="AB22" s="355"/>
      <c r="AC22" s="355"/>
      <c r="AD22" s="355"/>
      <c r="AE22" s="355"/>
      <c r="AF22" s="354"/>
    </row>
    <row r="23" spans="1:32" ht="55.5" customHeight="1" thickBot="1" x14ac:dyDescent="0.25">
      <c r="A23" s="887" t="s">
        <v>224</v>
      </c>
      <c r="B23" s="609" t="s">
        <v>204</v>
      </c>
      <c r="C23" s="424" t="s">
        <v>384</v>
      </c>
      <c r="D23" s="411" t="s">
        <v>383</v>
      </c>
      <c r="E23" s="410" t="s">
        <v>390</v>
      </c>
      <c r="F23" s="409" t="s">
        <v>389</v>
      </c>
      <c r="G23" s="838" t="s">
        <v>382</v>
      </c>
      <c r="H23" s="839" t="s">
        <v>388</v>
      </c>
      <c r="I23" s="840" t="s">
        <v>387</v>
      </c>
      <c r="J23" s="408" t="s">
        <v>381</v>
      </c>
      <c r="K23" s="407" t="s">
        <v>398</v>
      </c>
      <c r="L23" s="406" t="s">
        <v>392</v>
      </c>
      <c r="Q23" s="349" t="s">
        <v>384</v>
      </c>
      <c r="R23" s="348" t="s">
        <v>383</v>
      </c>
      <c r="S23" s="347" t="s">
        <v>382</v>
      </c>
      <c r="T23" s="346" t="s">
        <v>381</v>
      </c>
    </row>
    <row r="24" spans="1:32" ht="14.25" hidden="1" customHeight="1" outlineLevel="1" x14ac:dyDescent="0.2">
      <c r="A24" s="888"/>
      <c r="B24" s="614" t="s">
        <v>24</v>
      </c>
      <c r="C24" s="435" t="s">
        <v>434</v>
      </c>
      <c r="D24" s="405">
        <f t="shared" ref="D24:D44" si="8">SUM(E24+F24)</f>
        <v>15700</v>
      </c>
      <c r="E24" s="404">
        <v>15700</v>
      </c>
      <c r="F24" s="403">
        <v>0</v>
      </c>
      <c r="G24" s="402">
        <f>SUM(H24+I24)</f>
        <v>26759.5</v>
      </c>
      <c r="H24" s="401">
        <v>26556.5</v>
      </c>
      <c r="I24" s="400">
        <v>203</v>
      </c>
      <c r="J24" s="402">
        <f t="shared" ref="J24:J44" si="9">SUM(K24:L24)</f>
        <v>14909.22</v>
      </c>
      <c r="K24" s="401">
        <v>14906.26</v>
      </c>
      <c r="L24" s="400">
        <v>2.96</v>
      </c>
      <c r="M24" s="734">
        <f t="shared" ref="M24:M32" si="10">SUM(K24:L24)</f>
        <v>14909.22</v>
      </c>
      <c r="N24" s="338"/>
      <c r="O24" s="338"/>
      <c r="P24" s="338"/>
      <c r="Q24" s="345" t="str">
        <f t="shared" ref="Q24:Q44" si="11">+C24</f>
        <v>1996</v>
      </c>
      <c r="R24" s="342">
        <f t="shared" ref="R24:R44" si="12">+D24</f>
        <v>15700</v>
      </c>
      <c r="S24" s="341">
        <f t="shared" ref="S24:S44" si="13">+G24</f>
        <v>26759.5</v>
      </c>
      <c r="T24" s="341">
        <f t="shared" ref="T24:T44" si="14">+J24</f>
        <v>14909.22</v>
      </c>
      <c r="U24" s="391"/>
      <c r="V24" s="391"/>
      <c r="W24" s="391"/>
      <c r="X24" s="391"/>
      <c r="Y24" s="391"/>
      <c r="Z24" s="391"/>
      <c r="AA24" s="391"/>
      <c r="AB24" s="391"/>
      <c r="AC24" s="391"/>
      <c r="AD24" s="391"/>
      <c r="AE24" s="391"/>
    </row>
    <row r="25" spans="1:32" ht="14.25" hidden="1" customHeight="1" outlineLevel="1" x14ac:dyDescent="0.2">
      <c r="A25" s="888"/>
      <c r="B25" s="614" t="s">
        <v>24</v>
      </c>
      <c r="C25" s="399" t="s">
        <v>435</v>
      </c>
      <c r="D25" s="398">
        <f t="shared" si="8"/>
        <v>25100</v>
      </c>
      <c r="E25" s="397">
        <v>25100</v>
      </c>
      <c r="F25" s="396">
        <v>0</v>
      </c>
      <c r="G25" s="395">
        <f>SUM(H25+I25)</f>
        <v>39599</v>
      </c>
      <c r="H25" s="394">
        <v>37387.46</v>
      </c>
      <c r="I25" s="393">
        <v>2211.54</v>
      </c>
      <c r="J25" s="395">
        <f t="shared" si="9"/>
        <v>23890.49</v>
      </c>
      <c r="K25" s="394">
        <v>23470.240000000002</v>
      </c>
      <c r="L25" s="393">
        <v>420.25</v>
      </c>
      <c r="M25" s="734">
        <f t="shared" si="10"/>
        <v>23890.49</v>
      </c>
      <c r="N25" s="338"/>
      <c r="O25" s="338"/>
      <c r="P25" s="338"/>
      <c r="Q25" s="345" t="str">
        <f t="shared" si="11"/>
        <v>1997</v>
      </c>
      <c r="R25" s="342">
        <f t="shared" si="12"/>
        <v>25100</v>
      </c>
      <c r="S25" s="341">
        <f t="shared" si="13"/>
        <v>39599</v>
      </c>
      <c r="T25" s="341">
        <f t="shared" si="14"/>
        <v>23890.49</v>
      </c>
      <c r="U25" s="391"/>
      <c r="V25" s="391"/>
      <c r="W25" s="391"/>
      <c r="X25" s="391"/>
      <c r="Y25" s="391"/>
      <c r="Z25" s="391"/>
      <c r="AA25" s="391"/>
      <c r="AB25" s="391"/>
      <c r="AC25" s="391"/>
      <c r="AD25" s="391"/>
      <c r="AE25" s="391"/>
    </row>
    <row r="26" spans="1:32" ht="14.25" hidden="1" customHeight="1" outlineLevel="1" x14ac:dyDescent="0.2">
      <c r="A26" s="888"/>
      <c r="B26" s="614" t="s">
        <v>24</v>
      </c>
      <c r="C26" s="399" t="s">
        <v>436</v>
      </c>
      <c r="D26" s="398">
        <f t="shared" si="8"/>
        <v>29200</v>
      </c>
      <c r="E26" s="397">
        <v>29125</v>
      </c>
      <c r="F26" s="396">
        <v>75</v>
      </c>
      <c r="G26" s="395">
        <f>SUM(H26:I26)</f>
        <v>30052.65</v>
      </c>
      <c r="H26" s="394">
        <v>30000</v>
      </c>
      <c r="I26" s="393">
        <v>52.65</v>
      </c>
      <c r="J26" s="395">
        <f t="shared" si="9"/>
        <v>27065.01</v>
      </c>
      <c r="K26" s="394">
        <v>27017.69</v>
      </c>
      <c r="L26" s="393">
        <v>47.32</v>
      </c>
      <c r="M26" s="734">
        <f t="shared" si="10"/>
        <v>27065.01</v>
      </c>
      <c r="N26" s="338"/>
      <c r="O26" s="338"/>
      <c r="P26" s="338"/>
      <c r="Q26" s="345" t="str">
        <f t="shared" si="11"/>
        <v>1998</v>
      </c>
      <c r="R26" s="342">
        <f t="shared" si="12"/>
        <v>29200</v>
      </c>
      <c r="S26" s="341">
        <f t="shared" si="13"/>
        <v>30052.65</v>
      </c>
      <c r="T26" s="341">
        <f t="shared" si="14"/>
        <v>27065.01</v>
      </c>
      <c r="U26" s="391"/>
      <c r="V26" s="391"/>
      <c r="W26" s="391"/>
      <c r="X26" s="391"/>
      <c r="Y26" s="391"/>
      <c r="Z26" s="391"/>
      <c r="AA26" s="391"/>
      <c r="AB26" s="391"/>
      <c r="AC26" s="391"/>
      <c r="AD26" s="391"/>
      <c r="AE26" s="391"/>
    </row>
    <row r="27" spans="1:32" ht="18" hidden="1" customHeight="1" outlineLevel="1" x14ac:dyDescent="0.2">
      <c r="A27" s="888"/>
      <c r="B27" s="614" t="s">
        <v>24</v>
      </c>
      <c r="C27" s="389" t="s">
        <v>437</v>
      </c>
      <c r="D27" s="388">
        <f t="shared" si="8"/>
        <v>45355</v>
      </c>
      <c r="E27" s="386">
        <v>45355</v>
      </c>
      <c r="F27" s="381">
        <v>0</v>
      </c>
      <c r="G27" s="383">
        <f t="shared" ref="G27:G44" si="15">SUM(H27+I27)</f>
        <v>48624</v>
      </c>
      <c r="H27" s="384">
        <v>48571.35</v>
      </c>
      <c r="I27" s="392">
        <v>52.65</v>
      </c>
      <c r="J27" s="383">
        <f t="shared" si="9"/>
        <v>38914.939999999995</v>
      </c>
      <c r="K27" s="384">
        <v>38194.019999999997</v>
      </c>
      <c r="L27" s="392">
        <v>720.92</v>
      </c>
      <c r="M27" s="734">
        <f t="shared" si="10"/>
        <v>38914.939999999995</v>
      </c>
      <c r="N27" s="338"/>
      <c r="O27" s="338"/>
      <c r="P27" s="338"/>
      <c r="Q27" s="345" t="str">
        <f t="shared" si="11"/>
        <v>1999</v>
      </c>
      <c r="R27" s="342">
        <f t="shared" si="12"/>
        <v>45355</v>
      </c>
      <c r="S27" s="341">
        <f t="shared" si="13"/>
        <v>48624</v>
      </c>
      <c r="T27" s="341">
        <f t="shared" si="14"/>
        <v>38914.939999999995</v>
      </c>
      <c r="U27" s="391"/>
      <c r="V27" s="391"/>
      <c r="W27" s="391"/>
      <c r="X27" s="391"/>
      <c r="Y27" s="391"/>
      <c r="Z27" s="391"/>
      <c r="AA27" s="391"/>
      <c r="AB27" s="391"/>
      <c r="AC27" s="391"/>
      <c r="AD27" s="391"/>
      <c r="AE27" s="391"/>
    </row>
    <row r="28" spans="1:32" ht="14.4" hidden="1" customHeight="1" outlineLevel="1" collapsed="1" x14ac:dyDescent="0.2">
      <c r="A28" s="888"/>
      <c r="B28" s="614" t="s">
        <v>24</v>
      </c>
      <c r="C28" s="428" t="s">
        <v>283</v>
      </c>
      <c r="D28" s="388">
        <f t="shared" si="8"/>
        <v>41704</v>
      </c>
      <c r="E28" s="384">
        <v>41704</v>
      </c>
      <c r="F28" s="392">
        <v>0</v>
      </c>
      <c r="G28" s="383">
        <f t="shared" si="15"/>
        <v>51772</v>
      </c>
      <c r="H28" s="384">
        <v>51772</v>
      </c>
      <c r="I28" s="392">
        <v>0</v>
      </c>
      <c r="J28" s="383">
        <f t="shared" si="9"/>
        <v>46081.7</v>
      </c>
      <c r="K28" s="380">
        <v>45427.09</v>
      </c>
      <c r="L28" s="379">
        <v>654.61</v>
      </c>
      <c r="M28" s="734">
        <f t="shared" si="10"/>
        <v>46081.7</v>
      </c>
      <c r="N28" s="338"/>
      <c r="O28" s="338"/>
      <c r="P28" s="338"/>
      <c r="Q28" s="345" t="str">
        <f t="shared" si="11"/>
        <v>2000</v>
      </c>
      <c r="R28" s="342">
        <f t="shared" si="12"/>
        <v>41704</v>
      </c>
      <c r="S28" s="341">
        <f t="shared" si="13"/>
        <v>51772</v>
      </c>
      <c r="T28" s="341">
        <f t="shared" si="14"/>
        <v>46081.7</v>
      </c>
      <c r="U28" s="391"/>
      <c r="V28" s="391"/>
      <c r="W28" s="391"/>
      <c r="X28" s="391"/>
      <c r="Y28" s="391"/>
      <c r="Z28" s="391"/>
      <c r="AA28" s="391"/>
      <c r="AB28" s="391"/>
      <c r="AC28" s="391"/>
      <c r="AD28" s="391"/>
      <c r="AE28" s="391"/>
    </row>
    <row r="29" spans="1:32" ht="12.15" hidden="1" customHeight="1" outlineLevel="1" x14ac:dyDescent="0.2">
      <c r="A29" s="888"/>
      <c r="B29" s="614" t="s">
        <v>24</v>
      </c>
      <c r="C29" s="389" t="s">
        <v>284</v>
      </c>
      <c r="D29" s="388">
        <f t="shared" si="8"/>
        <v>37150</v>
      </c>
      <c r="E29" s="384">
        <v>37150</v>
      </c>
      <c r="F29" s="392">
        <v>0</v>
      </c>
      <c r="G29" s="383">
        <f t="shared" si="15"/>
        <v>33521</v>
      </c>
      <c r="H29" s="384">
        <v>33521</v>
      </c>
      <c r="I29" s="392">
        <v>0</v>
      </c>
      <c r="J29" s="383">
        <f t="shared" si="9"/>
        <v>34743.57</v>
      </c>
      <c r="K29" s="380">
        <v>34743.57</v>
      </c>
      <c r="L29" s="379">
        <v>0</v>
      </c>
      <c r="M29" s="734">
        <f t="shared" si="10"/>
        <v>34743.57</v>
      </c>
      <c r="N29" s="338"/>
      <c r="O29" s="338"/>
      <c r="P29" s="338"/>
      <c r="Q29" s="343" t="str">
        <f t="shared" si="11"/>
        <v>2001</v>
      </c>
      <c r="R29" s="342">
        <f t="shared" si="12"/>
        <v>37150</v>
      </c>
      <c r="S29" s="341">
        <f t="shared" si="13"/>
        <v>33521</v>
      </c>
      <c r="T29" s="341">
        <f t="shared" si="14"/>
        <v>34743.57</v>
      </c>
      <c r="U29" s="391"/>
      <c r="V29" s="391"/>
      <c r="W29" s="391"/>
      <c r="X29" s="391"/>
      <c r="Y29" s="391"/>
      <c r="Z29" s="391"/>
      <c r="AA29" s="391"/>
      <c r="AB29" s="391"/>
      <c r="AC29" s="391"/>
      <c r="AD29" s="391"/>
      <c r="AE29" s="391"/>
    </row>
    <row r="30" spans="1:32" ht="15" hidden="1" customHeight="1" outlineLevel="1" x14ac:dyDescent="0.2">
      <c r="A30" s="888"/>
      <c r="B30" s="614" t="s">
        <v>24</v>
      </c>
      <c r="C30" s="389" t="s">
        <v>285</v>
      </c>
      <c r="D30" s="388">
        <f t="shared" si="8"/>
        <v>24000</v>
      </c>
      <c r="E30" s="384">
        <v>24000</v>
      </c>
      <c r="F30" s="392">
        <v>0</v>
      </c>
      <c r="G30" s="383">
        <f t="shared" si="15"/>
        <v>32271</v>
      </c>
      <c r="H30" s="384">
        <v>32271</v>
      </c>
      <c r="I30" s="392">
        <v>0</v>
      </c>
      <c r="J30" s="383">
        <f t="shared" si="9"/>
        <v>49274.21</v>
      </c>
      <c r="K30" s="380">
        <v>49273.4</v>
      </c>
      <c r="L30" s="379">
        <v>0.81</v>
      </c>
      <c r="M30" s="734">
        <f t="shared" si="10"/>
        <v>49274.21</v>
      </c>
      <c r="N30" s="338"/>
      <c r="O30" s="338"/>
      <c r="P30" s="338"/>
      <c r="Q30" s="343" t="str">
        <f t="shared" si="11"/>
        <v>2002</v>
      </c>
      <c r="R30" s="342">
        <f t="shared" si="12"/>
        <v>24000</v>
      </c>
      <c r="S30" s="341">
        <f t="shared" si="13"/>
        <v>32271</v>
      </c>
      <c r="T30" s="341">
        <f t="shared" si="14"/>
        <v>49274.21</v>
      </c>
      <c r="U30" s="391"/>
      <c r="V30" s="391"/>
      <c r="W30" s="391"/>
      <c r="X30" s="391"/>
      <c r="Y30" s="391"/>
      <c r="Z30" s="391"/>
      <c r="AA30" s="391"/>
      <c r="AB30" s="391"/>
      <c r="AC30" s="391"/>
      <c r="AD30" s="391"/>
      <c r="AE30" s="391"/>
    </row>
    <row r="31" spans="1:32" ht="15" hidden="1" customHeight="1" outlineLevel="1" x14ac:dyDescent="0.2">
      <c r="A31" s="888"/>
      <c r="B31" s="614" t="s">
        <v>24</v>
      </c>
      <c r="C31" s="389" t="s">
        <v>286</v>
      </c>
      <c r="D31" s="388">
        <f t="shared" si="8"/>
        <v>53396</v>
      </c>
      <c r="E31" s="384">
        <v>53176</v>
      </c>
      <c r="F31" s="392">
        <v>220</v>
      </c>
      <c r="G31" s="383">
        <f t="shared" si="15"/>
        <v>57882</v>
      </c>
      <c r="H31" s="384">
        <v>57671.79</v>
      </c>
      <c r="I31" s="392">
        <v>210.21</v>
      </c>
      <c r="J31" s="383">
        <f t="shared" si="9"/>
        <v>40153.43</v>
      </c>
      <c r="K31" s="380">
        <v>40150.33</v>
      </c>
      <c r="L31" s="379">
        <v>3.1</v>
      </c>
      <c r="M31" s="734">
        <f t="shared" si="10"/>
        <v>40153.43</v>
      </c>
      <c r="N31" s="338"/>
      <c r="O31" s="338"/>
      <c r="P31" s="338"/>
      <c r="Q31" s="343" t="str">
        <f t="shared" si="11"/>
        <v>2003</v>
      </c>
      <c r="R31" s="342">
        <f t="shared" si="12"/>
        <v>53396</v>
      </c>
      <c r="S31" s="341">
        <f t="shared" si="13"/>
        <v>57882</v>
      </c>
      <c r="T31" s="341">
        <f t="shared" si="14"/>
        <v>40153.43</v>
      </c>
      <c r="U31" s="391"/>
      <c r="V31" s="391"/>
      <c r="W31" s="391"/>
      <c r="X31" s="391"/>
      <c r="Y31" s="391"/>
      <c r="Z31" s="391"/>
      <c r="AA31" s="391"/>
      <c r="AB31" s="391"/>
      <c r="AC31" s="391"/>
      <c r="AD31" s="391"/>
      <c r="AE31" s="391"/>
    </row>
    <row r="32" spans="1:32" ht="15.6" hidden="1" customHeight="1" outlineLevel="1" x14ac:dyDescent="0.2">
      <c r="A32" s="888"/>
      <c r="B32" s="614" t="s">
        <v>24</v>
      </c>
      <c r="C32" s="389" t="s">
        <v>287</v>
      </c>
      <c r="D32" s="388">
        <f t="shared" si="8"/>
        <v>68010</v>
      </c>
      <c r="E32" s="384">
        <v>67900</v>
      </c>
      <c r="F32" s="392">
        <v>110</v>
      </c>
      <c r="G32" s="383">
        <f t="shared" si="15"/>
        <v>68806</v>
      </c>
      <c r="H32" s="384">
        <v>68720.600000000006</v>
      </c>
      <c r="I32" s="392">
        <v>85.4</v>
      </c>
      <c r="J32" s="383">
        <f t="shared" si="9"/>
        <v>54332.32</v>
      </c>
      <c r="K32" s="380">
        <v>54070.63</v>
      </c>
      <c r="L32" s="379">
        <v>261.69</v>
      </c>
      <c r="M32" s="734">
        <f t="shared" si="10"/>
        <v>54332.32</v>
      </c>
      <c r="N32" s="338"/>
      <c r="O32" s="338"/>
      <c r="P32" s="338"/>
      <c r="Q32" s="343" t="str">
        <f t="shared" si="11"/>
        <v>2004</v>
      </c>
      <c r="R32" s="342">
        <f t="shared" si="12"/>
        <v>68010</v>
      </c>
      <c r="S32" s="341">
        <f t="shared" si="13"/>
        <v>68806</v>
      </c>
      <c r="T32" s="341">
        <f t="shared" si="14"/>
        <v>54332.32</v>
      </c>
      <c r="U32" s="391"/>
      <c r="V32" s="391"/>
      <c r="W32" s="391"/>
      <c r="X32" s="391"/>
      <c r="Y32" s="391"/>
      <c r="Z32" s="391"/>
      <c r="AA32" s="391"/>
      <c r="AB32" s="391"/>
      <c r="AC32" s="391"/>
      <c r="AD32" s="391"/>
      <c r="AE32" s="391"/>
    </row>
    <row r="33" spans="1:32" ht="17.399999999999999" hidden="1" customHeight="1" outlineLevel="1" x14ac:dyDescent="0.2">
      <c r="A33" s="888"/>
      <c r="B33" s="614" t="s">
        <v>24</v>
      </c>
      <c r="C33" s="389" t="s">
        <v>288</v>
      </c>
      <c r="D33" s="388">
        <f t="shared" si="8"/>
        <v>67228</v>
      </c>
      <c r="E33" s="384">
        <v>65160</v>
      </c>
      <c r="F33" s="392">
        <v>2068</v>
      </c>
      <c r="G33" s="383">
        <f t="shared" si="15"/>
        <v>54796</v>
      </c>
      <c r="H33" s="384">
        <v>54796</v>
      </c>
      <c r="I33" s="392">
        <v>0</v>
      </c>
      <c r="J33" s="383">
        <f t="shared" si="9"/>
        <v>62165.979999999996</v>
      </c>
      <c r="K33" s="380">
        <v>62162.67</v>
      </c>
      <c r="L33" s="379">
        <v>3.31</v>
      </c>
      <c r="M33" s="734"/>
      <c r="N33" s="338"/>
      <c r="O33" s="338"/>
      <c r="P33" s="338"/>
      <c r="Q33" s="343" t="str">
        <f t="shared" si="11"/>
        <v>2005</v>
      </c>
      <c r="R33" s="342">
        <f t="shared" si="12"/>
        <v>67228</v>
      </c>
      <c r="S33" s="341">
        <f t="shared" si="13"/>
        <v>54796</v>
      </c>
      <c r="T33" s="341">
        <f t="shared" si="14"/>
        <v>62165.979999999996</v>
      </c>
      <c r="U33" s="391"/>
      <c r="V33" s="391"/>
      <c r="W33" s="391"/>
      <c r="X33" s="391"/>
      <c r="Y33" s="391"/>
      <c r="Z33" s="391"/>
      <c r="AA33" s="391"/>
      <c r="AB33" s="391"/>
      <c r="AC33" s="391"/>
      <c r="AD33" s="391"/>
      <c r="AE33" s="391"/>
    </row>
    <row r="34" spans="1:32" ht="17.399999999999999" customHeight="1" collapsed="1" x14ac:dyDescent="0.2">
      <c r="A34" s="888"/>
      <c r="B34" s="614" t="s">
        <v>24</v>
      </c>
      <c r="C34" s="389" t="s">
        <v>289</v>
      </c>
      <c r="D34" s="824">
        <f t="shared" si="8"/>
        <v>90430</v>
      </c>
      <c r="E34" s="796">
        <v>89150</v>
      </c>
      <c r="F34" s="797">
        <v>1280</v>
      </c>
      <c r="G34" s="827">
        <f t="shared" si="15"/>
        <v>76917.919999999998</v>
      </c>
      <c r="H34" s="796">
        <v>70336</v>
      </c>
      <c r="I34" s="805">
        <v>6581.92</v>
      </c>
      <c r="J34" s="827">
        <f t="shared" si="9"/>
        <v>72990.009999999995</v>
      </c>
      <c r="K34" s="380">
        <v>72240.95</v>
      </c>
      <c r="L34" s="379">
        <v>749.06</v>
      </c>
      <c r="M34" s="734"/>
      <c r="N34" s="338"/>
      <c r="O34" s="338"/>
      <c r="P34" s="338"/>
      <c r="Q34" s="343" t="str">
        <f t="shared" si="11"/>
        <v>2006</v>
      </c>
      <c r="R34" s="342">
        <f t="shared" si="12"/>
        <v>90430</v>
      </c>
      <c r="S34" s="341">
        <f t="shared" si="13"/>
        <v>76917.919999999998</v>
      </c>
      <c r="T34" s="341">
        <f t="shared" si="14"/>
        <v>72990.009999999995</v>
      </c>
      <c r="U34" s="391"/>
      <c r="V34" s="391"/>
      <c r="W34" s="391"/>
      <c r="X34" s="391"/>
      <c r="Y34" s="391"/>
      <c r="Z34" s="391"/>
      <c r="AA34" s="391"/>
      <c r="AB34" s="391"/>
      <c r="AC34" s="391"/>
      <c r="AD34" s="391"/>
      <c r="AE34" s="391"/>
    </row>
    <row r="35" spans="1:32" ht="17.399999999999999" customHeight="1" x14ac:dyDescent="0.2">
      <c r="A35" s="888"/>
      <c r="B35" s="614" t="s">
        <v>24</v>
      </c>
      <c r="C35" s="389" t="s">
        <v>290</v>
      </c>
      <c r="D35" s="824">
        <f t="shared" si="8"/>
        <v>58100</v>
      </c>
      <c r="E35" s="796">
        <v>57641</v>
      </c>
      <c r="F35" s="797">
        <v>459</v>
      </c>
      <c r="G35" s="827">
        <f t="shared" si="15"/>
        <v>50820</v>
      </c>
      <c r="H35" s="804">
        <v>50820</v>
      </c>
      <c r="I35" s="805">
        <v>0</v>
      </c>
      <c r="J35" s="827">
        <f t="shared" si="9"/>
        <v>57181.14</v>
      </c>
      <c r="K35" s="380">
        <v>53658.61</v>
      </c>
      <c r="L35" s="379">
        <v>3522.53</v>
      </c>
      <c r="M35" s="734"/>
      <c r="N35" s="338"/>
      <c r="O35" s="338"/>
      <c r="P35" s="338"/>
      <c r="Q35" s="343" t="str">
        <f t="shared" si="11"/>
        <v>2007</v>
      </c>
      <c r="R35" s="342">
        <f t="shared" si="12"/>
        <v>58100</v>
      </c>
      <c r="S35" s="341">
        <f t="shared" si="13"/>
        <v>50820</v>
      </c>
      <c r="T35" s="341">
        <f t="shared" si="14"/>
        <v>57181.14</v>
      </c>
      <c r="U35" s="391"/>
      <c r="V35" s="391"/>
      <c r="W35" s="391"/>
      <c r="X35" s="391"/>
      <c r="Y35" s="391"/>
      <c r="Z35" s="391"/>
      <c r="AA35" s="391"/>
      <c r="AB35" s="391"/>
      <c r="AC35" s="391"/>
      <c r="AD35" s="391"/>
      <c r="AE35" s="391"/>
    </row>
    <row r="36" spans="1:32" ht="17.399999999999999" customHeight="1" x14ac:dyDescent="0.2">
      <c r="A36" s="888"/>
      <c r="B36" s="614" t="s">
        <v>24</v>
      </c>
      <c r="C36" s="389" t="s">
        <v>291</v>
      </c>
      <c r="D36" s="824">
        <f t="shared" si="8"/>
        <v>59700</v>
      </c>
      <c r="E36" s="796">
        <v>59400</v>
      </c>
      <c r="F36" s="797">
        <v>300</v>
      </c>
      <c r="G36" s="827">
        <f t="shared" si="15"/>
        <v>25189</v>
      </c>
      <c r="H36" s="804">
        <v>24910</v>
      </c>
      <c r="I36" s="805">
        <v>279</v>
      </c>
      <c r="J36" s="827">
        <f t="shared" si="9"/>
        <v>52225</v>
      </c>
      <c r="K36" s="380">
        <v>50422</v>
      </c>
      <c r="L36" s="379">
        <v>1803</v>
      </c>
      <c r="M36" s="734"/>
      <c r="N36" s="338"/>
      <c r="O36" s="338"/>
      <c r="P36" s="338"/>
      <c r="Q36" s="343" t="str">
        <f t="shared" si="11"/>
        <v>2008</v>
      </c>
      <c r="R36" s="342">
        <f t="shared" si="12"/>
        <v>59700</v>
      </c>
      <c r="S36" s="341">
        <f t="shared" si="13"/>
        <v>25189</v>
      </c>
      <c r="T36" s="341">
        <f t="shared" si="14"/>
        <v>52225</v>
      </c>
      <c r="U36" s="391"/>
      <c r="V36" s="391"/>
      <c r="W36" s="391"/>
      <c r="X36" s="391"/>
      <c r="Y36" s="391"/>
      <c r="Z36" s="391"/>
      <c r="AA36" s="391"/>
      <c r="AB36" s="391"/>
      <c r="AC36" s="391"/>
      <c r="AD36" s="391"/>
      <c r="AE36" s="391"/>
    </row>
    <row r="37" spans="1:32" ht="17.399999999999999" customHeight="1" x14ac:dyDescent="0.2">
      <c r="A37" s="888"/>
      <c r="B37" s="614" t="s">
        <v>24</v>
      </c>
      <c r="C37" s="389" t="s">
        <v>292</v>
      </c>
      <c r="D37" s="824">
        <f t="shared" si="8"/>
        <v>35300</v>
      </c>
      <c r="E37" s="796">
        <v>33300</v>
      </c>
      <c r="F37" s="797">
        <v>2000</v>
      </c>
      <c r="G37" s="827">
        <f t="shared" si="15"/>
        <v>27282</v>
      </c>
      <c r="H37" s="804">
        <v>25599</v>
      </c>
      <c r="I37" s="805">
        <v>1683</v>
      </c>
      <c r="J37" s="827">
        <f t="shared" si="9"/>
        <v>57690.64</v>
      </c>
      <c r="K37" s="380">
        <v>57398.29</v>
      </c>
      <c r="L37" s="379">
        <v>292.35000000000002</v>
      </c>
      <c r="M37" s="734"/>
      <c r="N37" s="338"/>
      <c r="O37" s="338"/>
      <c r="P37" s="338"/>
      <c r="Q37" s="343" t="str">
        <f t="shared" si="11"/>
        <v>2009</v>
      </c>
      <c r="R37" s="342">
        <f t="shared" si="12"/>
        <v>35300</v>
      </c>
      <c r="S37" s="341">
        <f t="shared" si="13"/>
        <v>27282</v>
      </c>
      <c r="T37" s="341">
        <f t="shared" si="14"/>
        <v>57690.64</v>
      </c>
      <c r="U37" s="391"/>
      <c r="V37" s="391"/>
      <c r="W37" s="391"/>
      <c r="X37" s="391"/>
      <c r="Y37" s="391"/>
      <c r="Z37" s="391"/>
      <c r="AA37" s="391"/>
      <c r="AB37" s="391"/>
      <c r="AC37" s="391"/>
      <c r="AD37" s="391"/>
      <c r="AE37" s="391"/>
    </row>
    <row r="38" spans="1:32" ht="17.399999999999999" customHeight="1" x14ac:dyDescent="0.2">
      <c r="A38" s="888"/>
      <c r="B38" s="614" t="s">
        <v>24</v>
      </c>
      <c r="C38" s="389" t="s">
        <v>293</v>
      </c>
      <c r="D38" s="824">
        <f t="shared" si="8"/>
        <v>34878</v>
      </c>
      <c r="E38" s="796">
        <v>34878</v>
      </c>
      <c r="F38" s="797">
        <v>0</v>
      </c>
      <c r="G38" s="827">
        <f t="shared" si="15"/>
        <v>38471</v>
      </c>
      <c r="H38" s="804">
        <v>38471</v>
      </c>
      <c r="I38" s="805">
        <v>0</v>
      </c>
      <c r="J38" s="827">
        <f t="shared" si="9"/>
        <v>41165</v>
      </c>
      <c r="K38" s="380">
        <v>40895</v>
      </c>
      <c r="L38" s="379">
        <v>270</v>
      </c>
      <c r="M38" s="734"/>
      <c r="N38" s="338"/>
      <c r="O38" s="338"/>
      <c r="P38" s="338"/>
      <c r="Q38" s="343" t="str">
        <f t="shared" si="11"/>
        <v>2010</v>
      </c>
      <c r="R38" s="342">
        <f t="shared" si="12"/>
        <v>34878</v>
      </c>
      <c r="S38" s="341">
        <f t="shared" si="13"/>
        <v>38471</v>
      </c>
      <c r="T38" s="341">
        <f t="shared" si="14"/>
        <v>41165</v>
      </c>
      <c r="U38" s="391"/>
      <c r="V38" s="391"/>
      <c r="W38" s="391"/>
      <c r="X38" s="391"/>
      <c r="Y38" s="391"/>
      <c r="Z38" s="391"/>
      <c r="AA38" s="391"/>
      <c r="AB38" s="391"/>
      <c r="AC38" s="391"/>
      <c r="AD38" s="391"/>
      <c r="AE38" s="391"/>
    </row>
    <row r="39" spans="1:32" ht="17.399999999999999" customHeight="1" x14ac:dyDescent="0.2">
      <c r="A39" s="888"/>
      <c r="B39" s="614" t="s">
        <v>24</v>
      </c>
      <c r="C39" s="427" t="s">
        <v>294</v>
      </c>
      <c r="D39" s="830">
        <f t="shared" si="8"/>
        <v>50107</v>
      </c>
      <c r="E39" s="800">
        <v>50107</v>
      </c>
      <c r="F39" s="801">
        <v>0</v>
      </c>
      <c r="G39" s="831">
        <f t="shared" si="15"/>
        <v>47747</v>
      </c>
      <c r="H39" s="808">
        <v>47747</v>
      </c>
      <c r="I39" s="809">
        <v>0</v>
      </c>
      <c r="J39" s="831">
        <f t="shared" si="9"/>
        <v>35156</v>
      </c>
      <c r="K39" s="420">
        <v>33443</v>
      </c>
      <c r="L39" s="419">
        <v>1713</v>
      </c>
      <c r="M39" s="734"/>
      <c r="N39" s="338"/>
      <c r="O39" s="338"/>
      <c r="P39" s="338"/>
      <c r="Q39" s="343" t="str">
        <f t="shared" si="11"/>
        <v>2011</v>
      </c>
      <c r="R39" s="342">
        <f t="shared" si="12"/>
        <v>50107</v>
      </c>
      <c r="S39" s="341">
        <f t="shared" si="13"/>
        <v>47747</v>
      </c>
      <c r="T39" s="341">
        <f t="shared" si="14"/>
        <v>35156</v>
      </c>
      <c r="U39" s="391"/>
      <c r="V39" s="391"/>
      <c r="W39" s="391"/>
      <c r="X39" s="391"/>
      <c r="Y39" s="391"/>
      <c r="Z39" s="391"/>
      <c r="AA39" s="391"/>
      <c r="AB39" s="391"/>
      <c r="AC39" s="391"/>
      <c r="AD39" s="391"/>
      <c r="AE39" s="391"/>
    </row>
    <row r="40" spans="1:32" ht="17.399999999999999" customHeight="1" x14ac:dyDescent="0.2">
      <c r="A40" s="888"/>
      <c r="B40" s="614" t="s">
        <v>24</v>
      </c>
      <c r="C40" s="423" t="s">
        <v>295</v>
      </c>
      <c r="D40" s="830">
        <f t="shared" si="8"/>
        <v>49027</v>
      </c>
      <c r="E40" s="800">
        <v>49027</v>
      </c>
      <c r="F40" s="801">
        <v>0</v>
      </c>
      <c r="G40" s="831">
        <f t="shared" si="15"/>
        <v>50716</v>
      </c>
      <c r="H40" s="808">
        <v>50716</v>
      </c>
      <c r="I40" s="809">
        <v>0</v>
      </c>
      <c r="J40" s="831">
        <f t="shared" si="9"/>
        <v>43288.14</v>
      </c>
      <c r="K40" s="420">
        <v>43288.14</v>
      </c>
      <c r="L40" s="419">
        <v>0</v>
      </c>
      <c r="M40" s="734"/>
      <c r="N40" s="338"/>
      <c r="O40" s="338"/>
      <c r="P40" s="338"/>
      <c r="Q40" s="343" t="str">
        <f t="shared" si="11"/>
        <v>2012</v>
      </c>
      <c r="R40" s="342">
        <f t="shared" si="12"/>
        <v>49027</v>
      </c>
      <c r="S40" s="341">
        <f t="shared" si="13"/>
        <v>50716</v>
      </c>
      <c r="T40" s="341">
        <f t="shared" si="14"/>
        <v>43288.14</v>
      </c>
      <c r="U40" s="391"/>
      <c r="V40" s="391"/>
      <c r="W40" s="391"/>
      <c r="X40" s="391"/>
      <c r="Y40" s="391"/>
      <c r="Z40" s="391"/>
      <c r="AA40" s="391"/>
      <c r="AB40" s="391"/>
      <c r="AC40" s="391"/>
      <c r="AD40" s="391"/>
      <c r="AE40" s="391"/>
    </row>
    <row r="41" spans="1:32" ht="17.399999999999999" customHeight="1" x14ac:dyDescent="0.2">
      <c r="A41" s="888"/>
      <c r="B41" s="614" t="s">
        <v>24</v>
      </c>
      <c r="C41" s="423" t="s">
        <v>296</v>
      </c>
      <c r="D41" s="830">
        <f t="shared" si="8"/>
        <v>49000</v>
      </c>
      <c r="E41" s="800">
        <v>48726</v>
      </c>
      <c r="F41" s="801">
        <v>274</v>
      </c>
      <c r="G41" s="831">
        <f t="shared" si="15"/>
        <v>41281</v>
      </c>
      <c r="H41" s="808">
        <v>40953.86</v>
      </c>
      <c r="I41" s="809">
        <v>327.14</v>
      </c>
      <c r="J41" s="831">
        <f t="shared" si="9"/>
        <v>44428.3</v>
      </c>
      <c r="K41" s="420">
        <v>44428.3</v>
      </c>
      <c r="L41" s="419">
        <v>0</v>
      </c>
      <c r="M41" s="734"/>
      <c r="N41" s="338"/>
      <c r="O41" s="338"/>
      <c r="P41" s="338"/>
      <c r="Q41" s="343" t="str">
        <f t="shared" si="11"/>
        <v>2013</v>
      </c>
      <c r="R41" s="342">
        <f t="shared" si="12"/>
        <v>49000</v>
      </c>
      <c r="S41" s="341">
        <f t="shared" si="13"/>
        <v>41281</v>
      </c>
      <c r="T41" s="341">
        <f t="shared" si="14"/>
        <v>44428.3</v>
      </c>
      <c r="U41" s="391"/>
      <c r="V41" s="391"/>
      <c r="W41" s="391"/>
      <c r="X41" s="391"/>
      <c r="Y41" s="391"/>
      <c r="Z41" s="391"/>
      <c r="AA41" s="391"/>
      <c r="AB41" s="391"/>
      <c r="AC41" s="391"/>
      <c r="AD41" s="391"/>
      <c r="AE41" s="391"/>
    </row>
    <row r="42" spans="1:32" ht="17.399999999999999" customHeight="1" x14ac:dyDescent="0.2">
      <c r="A42" s="888"/>
      <c r="B42" s="614" t="s">
        <v>24</v>
      </c>
      <c r="C42" s="423" t="s">
        <v>297</v>
      </c>
      <c r="D42" s="830">
        <f t="shared" si="8"/>
        <v>50900</v>
      </c>
      <c r="E42" s="800">
        <v>50900</v>
      </c>
      <c r="F42" s="801">
        <v>0</v>
      </c>
      <c r="G42" s="827">
        <f t="shared" si="15"/>
        <v>33096</v>
      </c>
      <c r="H42" s="808">
        <v>33096</v>
      </c>
      <c r="I42" s="809">
        <v>0</v>
      </c>
      <c r="J42" s="831">
        <f t="shared" si="9"/>
        <v>49880.4</v>
      </c>
      <c r="K42" s="420">
        <v>49880.4</v>
      </c>
      <c r="L42" s="419">
        <v>0</v>
      </c>
      <c r="M42" s="734"/>
      <c r="N42" s="338"/>
      <c r="O42" s="338"/>
      <c r="P42" s="338"/>
      <c r="Q42" s="343" t="str">
        <f t="shared" si="11"/>
        <v>2014</v>
      </c>
      <c r="R42" s="342">
        <f t="shared" si="12"/>
        <v>50900</v>
      </c>
      <c r="S42" s="341">
        <f t="shared" si="13"/>
        <v>33096</v>
      </c>
      <c r="T42" s="341">
        <f t="shared" si="14"/>
        <v>49880.4</v>
      </c>
      <c r="U42" s="391"/>
      <c r="V42" s="391"/>
      <c r="W42" s="391"/>
      <c r="X42" s="391"/>
      <c r="Y42" s="391"/>
      <c r="Z42" s="391"/>
      <c r="AA42" s="391"/>
      <c r="AB42" s="391"/>
      <c r="AC42" s="391"/>
      <c r="AD42" s="391"/>
      <c r="AE42" s="391"/>
    </row>
    <row r="43" spans="1:32" s="353" customFormat="1" ht="17.399999999999999" customHeight="1" x14ac:dyDescent="0.25">
      <c r="A43" s="888"/>
      <c r="B43" s="614" t="s">
        <v>24</v>
      </c>
      <c r="C43" s="423" t="s">
        <v>298</v>
      </c>
      <c r="D43" s="830">
        <f t="shared" si="8"/>
        <v>47000</v>
      </c>
      <c r="E43" s="816">
        <v>47000</v>
      </c>
      <c r="F43" s="817">
        <v>0</v>
      </c>
      <c r="G43" s="831">
        <f t="shared" si="15"/>
        <v>36088</v>
      </c>
      <c r="H43" s="818">
        <v>36088</v>
      </c>
      <c r="I43" s="819">
        <v>0</v>
      </c>
      <c r="J43" s="827">
        <f t="shared" si="9"/>
        <v>58239.61</v>
      </c>
      <c r="K43" s="422">
        <v>57908.03</v>
      </c>
      <c r="L43" s="421">
        <v>331.58</v>
      </c>
      <c r="M43" s="733"/>
      <c r="N43" s="338"/>
      <c r="O43" s="338"/>
      <c r="P43" s="338"/>
      <c r="Q43" s="352" t="str">
        <f t="shared" si="11"/>
        <v>2015</v>
      </c>
      <c r="R43" s="342">
        <f t="shared" si="12"/>
        <v>47000</v>
      </c>
      <c r="S43" s="341">
        <f t="shared" si="13"/>
        <v>36088</v>
      </c>
      <c r="T43" s="341">
        <f t="shared" si="14"/>
        <v>58239.61</v>
      </c>
      <c r="U43" s="355"/>
      <c r="V43" s="355"/>
      <c r="W43" s="355"/>
      <c r="X43" s="355"/>
      <c r="Y43" s="355"/>
      <c r="Z43" s="355"/>
      <c r="AA43" s="355"/>
      <c r="AB43" s="355"/>
      <c r="AC43" s="355"/>
      <c r="AD43" s="355"/>
      <c r="AE43" s="355"/>
      <c r="AF43" s="354"/>
    </row>
    <row r="44" spans="1:32" s="353" customFormat="1" ht="17.399999999999999" customHeight="1" thickBot="1" x14ac:dyDescent="0.3">
      <c r="A44" s="889"/>
      <c r="B44" s="614" t="s">
        <v>24</v>
      </c>
      <c r="C44" s="423" t="s">
        <v>438</v>
      </c>
      <c r="D44" s="830">
        <f t="shared" si="8"/>
        <v>47600</v>
      </c>
      <c r="E44" s="816">
        <v>47600</v>
      </c>
      <c r="F44" s="817">
        <v>0</v>
      </c>
      <c r="G44" s="831">
        <f t="shared" si="15"/>
        <v>0</v>
      </c>
      <c r="H44" s="818"/>
      <c r="I44" s="819"/>
      <c r="J44" s="831">
        <f t="shared" si="9"/>
        <v>0</v>
      </c>
      <c r="K44" s="422"/>
      <c r="L44" s="421"/>
      <c r="M44" s="733"/>
      <c r="N44" s="338"/>
      <c r="O44" s="338"/>
      <c r="P44" s="338"/>
      <c r="Q44" s="352" t="str">
        <f t="shared" si="11"/>
        <v>2016</v>
      </c>
      <c r="R44" s="351">
        <f t="shared" si="12"/>
        <v>47600</v>
      </c>
      <c r="S44" s="341">
        <f t="shared" si="13"/>
        <v>0</v>
      </c>
      <c r="T44" s="341">
        <f t="shared" si="14"/>
        <v>0</v>
      </c>
      <c r="U44" s="355"/>
      <c r="V44" s="355"/>
      <c r="W44" s="355"/>
      <c r="X44" s="355"/>
      <c r="Y44" s="355"/>
      <c r="Z44" s="355"/>
      <c r="AA44" s="355"/>
      <c r="AB44" s="355"/>
      <c r="AC44" s="355"/>
      <c r="AD44" s="355"/>
      <c r="AE44" s="355"/>
      <c r="AF44" s="354"/>
    </row>
    <row r="45" spans="1:32" ht="48" customHeight="1" thickBot="1" x14ac:dyDescent="0.25">
      <c r="A45" s="887" t="s">
        <v>220</v>
      </c>
      <c r="B45" s="609" t="s">
        <v>204</v>
      </c>
      <c r="C45" s="412" t="s">
        <v>384</v>
      </c>
      <c r="D45" s="411" t="s">
        <v>383</v>
      </c>
      <c r="E45" s="410" t="s">
        <v>390</v>
      </c>
      <c r="F45" s="409" t="s">
        <v>389</v>
      </c>
      <c r="G45" s="838" t="s">
        <v>382</v>
      </c>
      <c r="H45" s="839" t="s">
        <v>388</v>
      </c>
      <c r="I45" s="840" t="s">
        <v>387</v>
      </c>
      <c r="J45" s="408" t="s">
        <v>381</v>
      </c>
      <c r="K45" s="407" t="s">
        <v>393</v>
      </c>
      <c r="L45" s="406" t="s">
        <v>392</v>
      </c>
      <c r="Q45" s="349" t="s">
        <v>384</v>
      </c>
      <c r="R45" s="348" t="s">
        <v>383</v>
      </c>
      <c r="S45" s="347" t="s">
        <v>382</v>
      </c>
      <c r="T45" s="346" t="s">
        <v>381</v>
      </c>
    </row>
    <row r="46" spans="1:32" ht="15" hidden="1" customHeight="1" outlineLevel="1" x14ac:dyDescent="0.2">
      <c r="A46" s="888"/>
      <c r="B46" s="614" t="s">
        <v>23</v>
      </c>
      <c r="C46" s="435" t="s">
        <v>434</v>
      </c>
      <c r="D46" s="405">
        <f t="shared" ref="D46:D66" si="16">SUM(E46+F46)</f>
        <v>0</v>
      </c>
      <c r="E46" s="404">
        <v>0</v>
      </c>
      <c r="F46" s="403">
        <v>0</v>
      </c>
      <c r="G46" s="402">
        <f>SUM(H46+I46)</f>
        <v>31584.989999999998</v>
      </c>
      <c r="H46" s="401">
        <v>29264.17</v>
      </c>
      <c r="I46" s="400">
        <v>2320.8200000000002</v>
      </c>
      <c r="J46" s="402">
        <f t="shared" ref="J46:J66" si="17">SUM(K46:L46)</f>
        <v>21560.52</v>
      </c>
      <c r="K46" s="401">
        <v>21560.52</v>
      </c>
      <c r="L46" s="400">
        <v>0</v>
      </c>
      <c r="M46" s="735">
        <f t="shared" ref="M46:M54" si="18">SUM(K46:L46)</f>
        <v>21560.52</v>
      </c>
      <c r="N46" s="338"/>
      <c r="O46" s="338"/>
      <c r="P46" s="338"/>
      <c r="Q46" s="345" t="str">
        <f t="shared" ref="Q46:Q66" si="19">+C46</f>
        <v>1996</v>
      </c>
      <c r="R46" s="342">
        <f t="shared" ref="R46:R66" si="20">+D46</f>
        <v>0</v>
      </c>
      <c r="S46" s="341">
        <f t="shared" ref="S46:S62" si="21">+G46</f>
        <v>31584.989999999998</v>
      </c>
      <c r="T46" s="341">
        <f t="shared" ref="T46:T66" si="22">+J46</f>
        <v>21560.52</v>
      </c>
      <c r="U46" s="350"/>
      <c r="V46" s="350"/>
      <c r="W46" s="350"/>
      <c r="X46" s="350"/>
      <c r="Y46" s="350"/>
      <c r="Z46" s="350"/>
      <c r="AA46" s="350"/>
      <c r="AB46" s="350"/>
      <c r="AC46" s="350"/>
      <c r="AD46" s="350"/>
      <c r="AE46" s="350"/>
    </row>
    <row r="47" spans="1:32" ht="15" hidden="1" customHeight="1" outlineLevel="1" x14ac:dyDescent="0.2">
      <c r="A47" s="888"/>
      <c r="B47" s="614" t="s">
        <v>23</v>
      </c>
      <c r="C47" s="399" t="s">
        <v>435</v>
      </c>
      <c r="D47" s="398">
        <f t="shared" si="16"/>
        <v>32800</v>
      </c>
      <c r="E47" s="397">
        <v>32800</v>
      </c>
      <c r="F47" s="396">
        <v>0</v>
      </c>
      <c r="G47" s="395">
        <f>SUM(H47+I47)</f>
        <v>17364</v>
      </c>
      <c r="H47" s="394">
        <v>17364</v>
      </c>
      <c r="I47" s="393">
        <v>0</v>
      </c>
      <c r="J47" s="395">
        <f t="shared" si="17"/>
        <v>40967.07</v>
      </c>
      <c r="K47" s="394">
        <v>40967.07</v>
      </c>
      <c r="L47" s="393">
        <v>0</v>
      </c>
      <c r="M47" s="735">
        <f t="shared" si="18"/>
        <v>40967.07</v>
      </c>
      <c r="N47" s="338"/>
      <c r="O47" s="338"/>
      <c r="P47" s="338"/>
      <c r="Q47" s="345" t="str">
        <f t="shared" si="19"/>
        <v>1997</v>
      </c>
      <c r="R47" s="342">
        <f t="shared" si="20"/>
        <v>32800</v>
      </c>
      <c r="S47" s="341">
        <f t="shared" si="21"/>
        <v>17364</v>
      </c>
      <c r="T47" s="341">
        <f t="shared" si="22"/>
        <v>40967.07</v>
      </c>
      <c r="U47" s="350"/>
      <c r="V47" s="350"/>
      <c r="W47" s="350"/>
      <c r="X47" s="350"/>
      <c r="Y47" s="350"/>
      <c r="Z47" s="350"/>
      <c r="AA47" s="350"/>
      <c r="AB47" s="350"/>
      <c r="AC47" s="350"/>
      <c r="AD47" s="350"/>
      <c r="AE47" s="350"/>
    </row>
    <row r="48" spans="1:32" ht="15" hidden="1" customHeight="1" outlineLevel="1" x14ac:dyDescent="0.2">
      <c r="A48" s="888"/>
      <c r="B48" s="614" t="s">
        <v>23</v>
      </c>
      <c r="C48" s="399" t="s">
        <v>436</v>
      </c>
      <c r="D48" s="398">
        <f t="shared" si="16"/>
        <v>31800</v>
      </c>
      <c r="E48" s="397">
        <v>31544</v>
      </c>
      <c r="F48" s="396">
        <v>256</v>
      </c>
      <c r="G48" s="395">
        <f>SUM(H48:I48)</f>
        <v>21612</v>
      </c>
      <c r="H48" s="394">
        <v>21612</v>
      </c>
      <c r="I48" s="393">
        <v>0</v>
      </c>
      <c r="J48" s="395">
        <f t="shared" si="17"/>
        <v>18732.5</v>
      </c>
      <c r="K48" s="394">
        <v>18732.5</v>
      </c>
      <c r="L48" s="393">
        <v>0</v>
      </c>
      <c r="M48" s="735">
        <f t="shared" si="18"/>
        <v>18732.5</v>
      </c>
      <c r="N48" s="338"/>
      <c r="O48" s="338"/>
      <c r="P48" s="338"/>
      <c r="Q48" s="345" t="str">
        <f t="shared" si="19"/>
        <v>1998</v>
      </c>
      <c r="R48" s="342">
        <f t="shared" si="20"/>
        <v>31800</v>
      </c>
      <c r="S48" s="341">
        <f t="shared" si="21"/>
        <v>21612</v>
      </c>
      <c r="T48" s="341">
        <f t="shared" si="22"/>
        <v>18732.5</v>
      </c>
      <c r="U48" s="350"/>
      <c r="V48" s="350"/>
      <c r="W48" s="350"/>
      <c r="X48" s="350"/>
      <c r="Y48" s="350"/>
      <c r="Z48" s="350"/>
      <c r="AA48" s="350"/>
      <c r="AB48" s="350"/>
      <c r="AC48" s="350"/>
      <c r="AD48" s="350"/>
      <c r="AE48" s="350"/>
    </row>
    <row r="49" spans="1:31" ht="15" hidden="1" customHeight="1" outlineLevel="1" x14ac:dyDescent="0.2">
      <c r="A49" s="888"/>
      <c r="B49" s="614" t="s">
        <v>23</v>
      </c>
      <c r="C49" s="389" t="s">
        <v>437</v>
      </c>
      <c r="D49" s="388">
        <f t="shared" si="16"/>
        <v>24200</v>
      </c>
      <c r="E49" s="386">
        <v>23480</v>
      </c>
      <c r="F49" s="381">
        <v>720</v>
      </c>
      <c r="G49" s="383">
        <f t="shared" ref="G49:G66" si="23">SUM(H49+I49)</f>
        <v>21822.799999999999</v>
      </c>
      <c r="H49" s="384">
        <v>21612</v>
      </c>
      <c r="I49" s="392">
        <v>210.8</v>
      </c>
      <c r="J49" s="383">
        <f t="shared" si="17"/>
        <v>27528.54</v>
      </c>
      <c r="K49" s="384">
        <v>27522.52</v>
      </c>
      <c r="L49" s="392">
        <v>6.02</v>
      </c>
      <c r="M49" s="735">
        <f t="shared" si="18"/>
        <v>27528.54</v>
      </c>
      <c r="N49" s="338"/>
      <c r="O49" s="338"/>
      <c r="P49" s="338"/>
      <c r="Q49" s="345" t="str">
        <f t="shared" si="19"/>
        <v>1999</v>
      </c>
      <c r="R49" s="342">
        <f t="shared" si="20"/>
        <v>24200</v>
      </c>
      <c r="S49" s="341">
        <f t="shared" si="21"/>
        <v>21822.799999999999</v>
      </c>
      <c r="T49" s="341">
        <f t="shared" si="22"/>
        <v>27528.54</v>
      </c>
      <c r="U49" s="350"/>
      <c r="V49" s="350"/>
      <c r="W49" s="350"/>
      <c r="X49" s="350"/>
      <c r="Y49" s="350"/>
      <c r="Z49" s="350"/>
      <c r="AA49" s="350"/>
      <c r="AB49" s="350"/>
      <c r="AC49" s="350"/>
      <c r="AD49" s="350"/>
      <c r="AE49" s="350"/>
    </row>
    <row r="50" spans="1:31" ht="17.399999999999999" hidden="1" customHeight="1" outlineLevel="1" collapsed="1" x14ac:dyDescent="0.2">
      <c r="A50" s="888"/>
      <c r="B50" s="614" t="s">
        <v>23</v>
      </c>
      <c r="C50" s="428" t="s">
        <v>283</v>
      </c>
      <c r="D50" s="388">
        <f t="shared" si="16"/>
        <v>50145</v>
      </c>
      <c r="E50" s="384">
        <v>50145</v>
      </c>
      <c r="F50" s="392">
        <v>0</v>
      </c>
      <c r="G50" s="383">
        <f t="shared" si="23"/>
        <v>54483</v>
      </c>
      <c r="H50" s="384">
        <v>53387.8</v>
      </c>
      <c r="I50" s="392">
        <v>1095.2</v>
      </c>
      <c r="J50" s="383">
        <f t="shared" si="17"/>
        <v>51325.829999999994</v>
      </c>
      <c r="K50" s="380">
        <v>51276.06</v>
      </c>
      <c r="L50" s="379">
        <v>49.77</v>
      </c>
      <c r="M50" s="735">
        <f t="shared" si="18"/>
        <v>51325.829999999994</v>
      </c>
      <c r="N50" s="338"/>
      <c r="O50" s="338"/>
      <c r="P50" s="338"/>
      <c r="Q50" s="345" t="str">
        <f t="shared" si="19"/>
        <v>2000</v>
      </c>
      <c r="R50" s="342">
        <f t="shared" si="20"/>
        <v>50145</v>
      </c>
      <c r="S50" s="341">
        <f t="shared" si="21"/>
        <v>54483</v>
      </c>
      <c r="T50" s="341">
        <f t="shared" si="22"/>
        <v>51325.829999999994</v>
      </c>
      <c r="U50" s="350"/>
      <c r="V50" s="350"/>
      <c r="W50" s="350"/>
      <c r="X50" s="350"/>
      <c r="Y50" s="350"/>
      <c r="Z50" s="350"/>
      <c r="AA50" s="350"/>
      <c r="AB50" s="350"/>
      <c r="AC50" s="350"/>
      <c r="AD50" s="350"/>
      <c r="AE50" s="350"/>
    </row>
    <row r="51" spans="1:31" ht="17.399999999999999" hidden="1" customHeight="1" outlineLevel="1" x14ac:dyDescent="0.2">
      <c r="A51" s="888"/>
      <c r="B51" s="614" t="s">
        <v>23</v>
      </c>
      <c r="C51" s="389" t="s">
        <v>284</v>
      </c>
      <c r="D51" s="388">
        <f t="shared" si="16"/>
        <v>43400</v>
      </c>
      <c r="E51" s="384">
        <v>43400</v>
      </c>
      <c r="F51" s="392">
        <v>0</v>
      </c>
      <c r="G51" s="383">
        <f t="shared" si="23"/>
        <v>48424</v>
      </c>
      <c r="H51" s="384">
        <v>48424</v>
      </c>
      <c r="I51" s="392">
        <v>0</v>
      </c>
      <c r="J51" s="383">
        <f t="shared" si="17"/>
        <v>55199.960000000006</v>
      </c>
      <c r="K51" s="380">
        <v>55054.55</v>
      </c>
      <c r="L51" s="379">
        <v>145.41</v>
      </c>
      <c r="M51" s="735">
        <f t="shared" si="18"/>
        <v>55199.960000000006</v>
      </c>
      <c r="N51" s="338"/>
      <c r="O51" s="338"/>
      <c r="P51" s="338"/>
      <c r="Q51" s="343" t="str">
        <f t="shared" si="19"/>
        <v>2001</v>
      </c>
      <c r="R51" s="342">
        <f t="shared" si="20"/>
        <v>43400</v>
      </c>
      <c r="S51" s="341">
        <f t="shared" si="21"/>
        <v>48424</v>
      </c>
      <c r="T51" s="341">
        <f t="shared" si="22"/>
        <v>55199.960000000006</v>
      </c>
      <c r="U51" s="350"/>
      <c r="V51" s="350"/>
      <c r="W51" s="350"/>
      <c r="X51" s="350"/>
      <c r="Y51" s="350"/>
      <c r="Z51" s="350"/>
      <c r="AA51" s="350"/>
      <c r="AB51" s="350"/>
      <c r="AC51" s="350"/>
      <c r="AD51" s="350"/>
      <c r="AE51" s="350"/>
    </row>
    <row r="52" spans="1:31" ht="17.399999999999999" hidden="1" customHeight="1" outlineLevel="1" x14ac:dyDescent="0.2">
      <c r="A52" s="888"/>
      <c r="B52" s="614" t="s">
        <v>23</v>
      </c>
      <c r="C52" s="389" t="s">
        <v>285</v>
      </c>
      <c r="D52" s="388">
        <f t="shared" si="16"/>
        <v>38000</v>
      </c>
      <c r="E52" s="384">
        <v>38000</v>
      </c>
      <c r="F52" s="392">
        <v>0</v>
      </c>
      <c r="G52" s="383">
        <f t="shared" si="23"/>
        <v>44933</v>
      </c>
      <c r="H52" s="384">
        <v>44933</v>
      </c>
      <c r="I52" s="392">
        <v>0</v>
      </c>
      <c r="J52" s="383">
        <f t="shared" si="17"/>
        <v>64130.619999999995</v>
      </c>
      <c r="K52" s="380">
        <v>64075.09</v>
      </c>
      <c r="L52" s="379">
        <v>55.53</v>
      </c>
      <c r="M52" s="735">
        <f t="shared" si="18"/>
        <v>64130.619999999995</v>
      </c>
      <c r="N52" s="338"/>
      <c r="O52" s="338"/>
      <c r="P52" s="338"/>
      <c r="Q52" s="343" t="str">
        <f t="shared" si="19"/>
        <v>2002</v>
      </c>
      <c r="R52" s="342">
        <f t="shared" si="20"/>
        <v>38000</v>
      </c>
      <c r="S52" s="341">
        <f t="shared" si="21"/>
        <v>44933</v>
      </c>
      <c r="T52" s="341">
        <f t="shared" si="22"/>
        <v>64130.619999999995</v>
      </c>
      <c r="U52" s="350"/>
      <c r="V52" s="350"/>
      <c r="W52" s="350"/>
      <c r="X52" s="350"/>
      <c r="Y52" s="350"/>
      <c r="Z52" s="350"/>
      <c r="AA52" s="350"/>
      <c r="AB52" s="350"/>
      <c r="AC52" s="350"/>
      <c r="AD52" s="350"/>
      <c r="AE52" s="350"/>
    </row>
    <row r="53" spans="1:31" ht="17.399999999999999" hidden="1" customHeight="1" outlineLevel="1" x14ac:dyDescent="0.2">
      <c r="A53" s="888"/>
      <c r="B53" s="614" t="s">
        <v>23</v>
      </c>
      <c r="C53" s="389" t="s">
        <v>286</v>
      </c>
      <c r="D53" s="388">
        <f t="shared" si="16"/>
        <v>46900</v>
      </c>
      <c r="E53" s="384">
        <v>46900</v>
      </c>
      <c r="F53" s="392">
        <v>0</v>
      </c>
      <c r="G53" s="383">
        <f t="shared" si="23"/>
        <v>50985</v>
      </c>
      <c r="H53" s="384">
        <v>50985</v>
      </c>
      <c r="I53" s="392">
        <v>0</v>
      </c>
      <c r="J53" s="383">
        <f t="shared" si="17"/>
        <v>56179.839999999997</v>
      </c>
      <c r="K53" s="380">
        <v>56179.839999999997</v>
      </c>
      <c r="L53" s="379">
        <v>0</v>
      </c>
      <c r="M53" s="735">
        <f t="shared" si="18"/>
        <v>56179.839999999997</v>
      </c>
      <c r="N53" s="338"/>
      <c r="O53" s="338"/>
      <c r="P53" s="338"/>
      <c r="Q53" s="343" t="str">
        <f t="shared" si="19"/>
        <v>2003</v>
      </c>
      <c r="R53" s="342">
        <f t="shared" si="20"/>
        <v>46900</v>
      </c>
      <c r="S53" s="341">
        <f t="shared" si="21"/>
        <v>50985</v>
      </c>
      <c r="T53" s="341">
        <f t="shared" si="22"/>
        <v>56179.839999999997</v>
      </c>
      <c r="U53" s="350"/>
      <c r="V53" s="350"/>
      <c r="W53" s="350"/>
      <c r="X53" s="350"/>
      <c r="Y53" s="350"/>
      <c r="Z53" s="350"/>
      <c r="AA53" s="350"/>
      <c r="AB53" s="350"/>
      <c r="AC53" s="350"/>
      <c r="AD53" s="350"/>
      <c r="AE53" s="350"/>
    </row>
    <row r="54" spans="1:31" ht="17.399999999999999" hidden="1" customHeight="1" outlineLevel="1" x14ac:dyDescent="0.2">
      <c r="A54" s="888"/>
      <c r="B54" s="614" t="s">
        <v>23</v>
      </c>
      <c r="C54" s="389" t="s">
        <v>287</v>
      </c>
      <c r="D54" s="388">
        <f t="shared" si="16"/>
        <v>69500</v>
      </c>
      <c r="E54" s="384">
        <v>69500</v>
      </c>
      <c r="F54" s="392">
        <v>0</v>
      </c>
      <c r="G54" s="383">
        <f t="shared" si="23"/>
        <v>61119</v>
      </c>
      <c r="H54" s="384">
        <v>61119</v>
      </c>
      <c r="I54" s="392">
        <v>0</v>
      </c>
      <c r="J54" s="383">
        <f t="shared" si="17"/>
        <v>60581.24</v>
      </c>
      <c r="K54" s="380">
        <v>60581.24</v>
      </c>
      <c r="L54" s="379">
        <v>0</v>
      </c>
      <c r="M54" s="735">
        <f t="shared" si="18"/>
        <v>60581.24</v>
      </c>
      <c r="N54" s="338"/>
      <c r="O54" s="338"/>
      <c r="P54" s="338"/>
      <c r="Q54" s="343" t="str">
        <f t="shared" si="19"/>
        <v>2004</v>
      </c>
      <c r="R54" s="342">
        <f t="shared" si="20"/>
        <v>69500</v>
      </c>
      <c r="S54" s="341">
        <f t="shared" si="21"/>
        <v>61119</v>
      </c>
      <c r="T54" s="341">
        <f t="shared" si="22"/>
        <v>60581.24</v>
      </c>
      <c r="U54" s="350"/>
      <c r="V54" s="350"/>
      <c r="W54" s="350"/>
      <c r="X54" s="350"/>
      <c r="Y54" s="350"/>
      <c r="Z54" s="350"/>
      <c r="AA54" s="350"/>
      <c r="AB54" s="350"/>
      <c r="AC54" s="350"/>
      <c r="AD54" s="350"/>
      <c r="AE54" s="350"/>
    </row>
    <row r="55" spans="1:31" ht="17.399999999999999" hidden="1" customHeight="1" outlineLevel="1" x14ac:dyDescent="0.2">
      <c r="A55" s="888"/>
      <c r="B55" s="614" t="s">
        <v>23</v>
      </c>
      <c r="C55" s="389" t="s">
        <v>288</v>
      </c>
      <c r="D55" s="388">
        <f t="shared" si="16"/>
        <v>55400</v>
      </c>
      <c r="E55" s="384">
        <v>55400</v>
      </c>
      <c r="F55" s="392">
        <v>0</v>
      </c>
      <c r="G55" s="383">
        <f t="shared" si="23"/>
        <v>48730</v>
      </c>
      <c r="H55" s="384">
        <v>48730</v>
      </c>
      <c r="I55" s="392">
        <v>0</v>
      </c>
      <c r="J55" s="383">
        <f t="shared" si="17"/>
        <v>55798.52</v>
      </c>
      <c r="K55" s="380">
        <v>55798.52</v>
      </c>
      <c r="L55" s="379">
        <v>0</v>
      </c>
      <c r="M55" s="735"/>
      <c r="N55" s="338"/>
      <c r="O55" s="338"/>
      <c r="P55" s="338"/>
      <c r="Q55" s="343" t="str">
        <f t="shared" si="19"/>
        <v>2005</v>
      </c>
      <c r="R55" s="342">
        <f t="shared" si="20"/>
        <v>55400</v>
      </c>
      <c r="S55" s="341">
        <f t="shared" si="21"/>
        <v>48730</v>
      </c>
      <c r="T55" s="341">
        <f t="shared" si="22"/>
        <v>55798.52</v>
      </c>
      <c r="U55" s="350"/>
      <c r="V55" s="350"/>
      <c r="W55" s="350"/>
      <c r="X55" s="350"/>
      <c r="Y55" s="350"/>
      <c r="Z55" s="350"/>
      <c r="AA55" s="350"/>
      <c r="AB55" s="350"/>
      <c r="AC55" s="350"/>
      <c r="AD55" s="350"/>
      <c r="AE55" s="350"/>
    </row>
    <row r="56" spans="1:31" ht="17.399999999999999" customHeight="1" collapsed="1" x14ac:dyDescent="0.2">
      <c r="A56" s="888"/>
      <c r="B56" s="614" t="s">
        <v>23</v>
      </c>
      <c r="C56" s="389" t="s">
        <v>289</v>
      </c>
      <c r="D56" s="824">
        <f t="shared" si="16"/>
        <v>76300</v>
      </c>
      <c r="E56" s="796">
        <v>76300</v>
      </c>
      <c r="F56" s="797">
        <v>0</v>
      </c>
      <c r="G56" s="827">
        <f t="shared" si="23"/>
        <v>64722</v>
      </c>
      <c r="H56" s="804">
        <v>64722</v>
      </c>
      <c r="I56" s="805"/>
      <c r="J56" s="827">
        <f t="shared" si="17"/>
        <v>69028.100000000006</v>
      </c>
      <c r="K56" s="380">
        <v>69028.100000000006</v>
      </c>
      <c r="L56" s="379">
        <v>0</v>
      </c>
      <c r="M56" s="735"/>
      <c r="N56" s="338"/>
      <c r="O56" s="338"/>
      <c r="P56" s="338"/>
      <c r="Q56" s="343" t="str">
        <f t="shared" si="19"/>
        <v>2006</v>
      </c>
      <c r="R56" s="342">
        <f t="shared" si="20"/>
        <v>76300</v>
      </c>
      <c r="S56" s="341">
        <f t="shared" si="21"/>
        <v>64722</v>
      </c>
      <c r="T56" s="341">
        <f t="shared" si="22"/>
        <v>69028.100000000006</v>
      </c>
      <c r="U56" s="350"/>
      <c r="V56" s="350"/>
      <c r="W56" s="350"/>
      <c r="X56" s="350"/>
      <c r="Y56" s="350"/>
      <c r="Z56" s="350"/>
      <c r="AA56" s="350"/>
      <c r="AB56" s="350"/>
      <c r="AC56" s="350"/>
      <c r="AD56" s="350"/>
      <c r="AE56" s="350"/>
    </row>
    <row r="57" spans="1:31" ht="17.399999999999999" customHeight="1" x14ac:dyDescent="0.2">
      <c r="A57" s="888"/>
      <c r="B57" s="614" t="s">
        <v>23</v>
      </c>
      <c r="C57" s="389" t="s">
        <v>290</v>
      </c>
      <c r="D57" s="824">
        <f t="shared" si="16"/>
        <v>53300</v>
      </c>
      <c r="E57" s="796">
        <v>53300</v>
      </c>
      <c r="F57" s="797">
        <v>0</v>
      </c>
      <c r="G57" s="827">
        <f t="shared" si="23"/>
        <v>64918</v>
      </c>
      <c r="H57" s="804">
        <v>64918</v>
      </c>
      <c r="I57" s="805">
        <v>0</v>
      </c>
      <c r="J57" s="827">
        <f t="shared" si="17"/>
        <v>70988.03</v>
      </c>
      <c r="K57" s="380">
        <v>70988.03</v>
      </c>
      <c r="L57" s="379">
        <v>0</v>
      </c>
      <c r="M57" s="735"/>
      <c r="N57" s="338"/>
      <c r="O57" s="338"/>
      <c r="P57" s="338"/>
      <c r="Q57" s="343" t="str">
        <f t="shared" si="19"/>
        <v>2007</v>
      </c>
      <c r="R57" s="342">
        <f t="shared" si="20"/>
        <v>53300</v>
      </c>
      <c r="S57" s="341">
        <f t="shared" si="21"/>
        <v>64918</v>
      </c>
      <c r="T57" s="341">
        <f t="shared" si="22"/>
        <v>70988.03</v>
      </c>
      <c r="U57" s="350"/>
      <c r="V57" s="350"/>
      <c r="W57" s="350"/>
      <c r="X57" s="350"/>
      <c r="Y57" s="350"/>
      <c r="Z57" s="350"/>
      <c r="AA57" s="350"/>
      <c r="AB57" s="350"/>
      <c r="AC57" s="350"/>
      <c r="AD57" s="350"/>
      <c r="AE57" s="350"/>
    </row>
    <row r="58" spans="1:31" ht="17.399999999999999" customHeight="1" x14ac:dyDescent="0.2">
      <c r="A58" s="888"/>
      <c r="B58" s="614" t="s">
        <v>23</v>
      </c>
      <c r="C58" s="389" t="s">
        <v>291</v>
      </c>
      <c r="D58" s="824">
        <f t="shared" si="16"/>
        <v>58000</v>
      </c>
      <c r="E58" s="796">
        <v>58000</v>
      </c>
      <c r="F58" s="797">
        <v>0</v>
      </c>
      <c r="G58" s="827">
        <f t="shared" si="23"/>
        <v>65025</v>
      </c>
      <c r="H58" s="804">
        <v>65025</v>
      </c>
      <c r="I58" s="805">
        <v>0</v>
      </c>
      <c r="J58" s="827">
        <f t="shared" si="17"/>
        <v>59539</v>
      </c>
      <c r="K58" s="380">
        <v>59539</v>
      </c>
      <c r="L58" s="379">
        <v>0</v>
      </c>
      <c r="M58" s="735"/>
      <c r="N58" s="338"/>
      <c r="O58" s="338"/>
      <c r="P58" s="338"/>
      <c r="Q58" s="343" t="str">
        <f t="shared" si="19"/>
        <v>2008</v>
      </c>
      <c r="R58" s="342">
        <f t="shared" si="20"/>
        <v>58000</v>
      </c>
      <c r="S58" s="341">
        <f t="shared" si="21"/>
        <v>65025</v>
      </c>
      <c r="T58" s="341">
        <f t="shared" si="22"/>
        <v>59539</v>
      </c>
      <c r="U58" s="350"/>
      <c r="V58" s="350"/>
      <c r="W58" s="350"/>
      <c r="X58" s="350"/>
      <c r="Y58" s="350"/>
      <c r="Z58" s="350"/>
      <c r="AA58" s="350"/>
      <c r="AB58" s="350"/>
      <c r="AC58" s="350"/>
      <c r="AD58" s="350"/>
      <c r="AE58" s="350"/>
    </row>
    <row r="59" spans="1:31" ht="17.399999999999999" customHeight="1" x14ac:dyDescent="0.2">
      <c r="A59" s="888"/>
      <c r="B59" s="614" t="s">
        <v>23</v>
      </c>
      <c r="C59" s="389" t="s">
        <v>292</v>
      </c>
      <c r="D59" s="824">
        <f t="shared" si="16"/>
        <v>62288</v>
      </c>
      <c r="E59" s="796">
        <v>62168</v>
      </c>
      <c r="F59" s="797">
        <v>120</v>
      </c>
      <c r="G59" s="827">
        <f t="shared" si="23"/>
        <v>70674</v>
      </c>
      <c r="H59" s="804">
        <v>70553.460000000006</v>
      </c>
      <c r="I59" s="805">
        <v>120.54</v>
      </c>
      <c r="J59" s="827">
        <f t="shared" si="17"/>
        <v>39469.599999999999</v>
      </c>
      <c r="K59" s="380">
        <v>39469.599999999999</v>
      </c>
      <c r="L59" s="379">
        <v>0</v>
      </c>
      <c r="M59" s="735"/>
      <c r="N59" s="338"/>
      <c r="O59" s="338"/>
      <c r="P59" s="338"/>
      <c r="Q59" s="343" t="str">
        <f t="shared" si="19"/>
        <v>2009</v>
      </c>
      <c r="R59" s="342">
        <f t="shared" si="20"/>
        <v>62288</v>
      </c>
      <c r="S59" s="341">
        <f t="shared" si="21"/>
        <v>70674</v>
      </c>
      <c r="T59" s="341">
        <f t="shared" si="22"/>
        <v>39469.599999999999</v>
      </c>
      <c r="U59" s="350"/>
      <c r="V59" s="350"/>
      <c r="W59" s="350"/>
      <c r="X59" s="350"/>
      <c r="Y59" s="350"/>
      <c r="Z59" s="350"/>
      <c r="AA59" s="350"/>
      <c r="AB59" s="350"/>
      <c r="AC59" s="350"/>
      <c r="AD59" s="350"/>
      <c r="AE59" s="350"/>
    </row>
    <row r="60" spans="1:31" ht="17.399999999999999" customHeight="1" x14ac:dyDescent="0.2">
      <c r="A60" s="888"/>
      <c r="B60" s="614" t="s">
        <v>23</v>
      </c>
      <c r="C60" s="389" t="s">
        <v>293</v>
      </c>
      <c r="D60" s="824">
        <f t="shared" si="16"/>
        <v>62888</v>
      </c>
      <c r="E60" s="796">
        <v>62888</v>
      </c>
      <c r="F60" s="797">
        <v>0</v>
      </c>
      <c r="G60" s="827">
        <f t="shared" si="23"/>
        <v>67596</v>
      </c>
      <c r="H60" s="804">
        <v>67596</v>
      </c>
      <c r="I60" s="805">
        <v>0</v>
      </c>
      <c r="J60" s="827">
        <f t="shared" si="17"/>
        <v>92742.06</v>
      </c>
      <c r="K60" s="380">
        <v>92710</v>
      </c>
      <c r="L60" s="379">
        <v>32.06</v>
      </c>
      <c r="M60" s="735"/>
      <c r="N60" s="338"/>
      <c r="O60" s="338"/>
      <c r="P60" s="338"/>
      <c r="Q60" s="343" t="str">
        <f t="shared" si="19"/>
        <v>2010</v>
      </c>
      <c r="R60" s="342">
        <f t="shared" si="20"/>
        <v>62888</v>
      </c>
      <c r="S60" s="341">
        <f t="shared" si="21"/>
        <v>67596</v>
      </c>
      <c r="T60" s="341">
        <f t="shared" si="22"/>
        <v>92742.06</v>
      </c>
      <c r="U60" s="350"/>
      <c r="V60" s="350"/>
      <c r="W60" s="350"/>
      <c r="X60" s="350"/>
      <c r="Y60" s="350"/>
      <c r="Z60" s="350"/>
      <c r="AA60" s="350"/>
      <c r="AB60" s="350"/>
      <c r="AC60" s="350"/>
      <c r="AD60" s="350"/>
      <c r="AE60" s="350"/>
    </row>
    <row r="61" spans="1:31" ht="17.399999999999999" customHeight="1" x14ac:dyDescent="0.2">
      <c r="A61" s="888"/>
      <c r="B61" s="614" t="s">
        <v>23</v>
      </c>
      <c r="C61" s="427" t="s">
        <v>294</v>
      </c>
      <c r="D61" s="830">
        <f t="shared" si="16"/>
        <v>58742</v>
      </c>
      <c r="E61" s="800">
        <v>58742</v>
      </c>
      <c r="F61" s="801">
        <v>0</v>
      </c>
      <c r="G61" s="831">
        <f t="shared" si="23"/>
        <v>52691</v>
      </c>
      <c r="H61" s="808">
        <v>52691</v>
      </c>
      <c r="I61" s="809">
        <v>0</v>
      </c>
      <c r="J61" s="831">
        <f t="shared" si="17"/>
        <v>86042</v>
      </c>
      <c r="K61" s="420">
        <v>85948</v>
      </c>
      <c r="L61" s="419">
        <v>94</v>
      </c>
      <c r="M61" s="735"/>
      <c r="N61" s="338"/>
      <c r="O61" s="338"/>
      <c r="P61" s="338"/>
      <c r="Q61" s="343" t="str">
        <f t="shared" si="19"/>
        <v>2011</v>
      </c>
      <c r="R61" s="342">
        <f t="shared" si="20"/>
        <v>58742</v>
      </c>
      <c r="S61" s="341">
        <f t="shared" si="21"/>
        <v>52691</v>
      </c>
      <c r="T61" s="341">
        <f t="shared" si="22"/>
        <v>86042</v>
      </c>
      <c r="U61" s="350"/>
      <c r="V61" s="350"/>
      <c r="W61" s="350"/>
      <c r="X61" s="350"/>
      <c r="Y61" s="350"/>
      <c r="Z61" s="350"/>
      <c r="AA61" s="350"/>
      <c r="AB61" s="350"/>
      <c r="AC61" s="350"/>
      <c r="AD61" s="350"/>
      <c r="AE61" s="350"/>
    </row>
    <row r="62" spans="1:31" ht="17.399999999999999" customHeight="1" x14ac:dyDescent="0.2">
      <c r="A62" s="888"/>
      <c r="B62" s="614" t="s">
        <v>23</v>
      </c>
      <c r="C62" s="423" t="s">
        <v>295</v>
      </c>
      <c r="D62" s="830">
        <f t="shared" si="16"/>
        <v>62190</v>
      </c>
      <c r="E62" s="800">
        <v>62190</v>
      </c>
      <c r="F62" s="801">
        <v>0</v>
      </c>
      <c r="G62" s="831">
        <f t="shared" si="23"/>
        <v>61169</v>
      </c>
      <c r="H62" s="808">
        <v>61169</v>
      </c>
      <c r="I62" s="809">
        <v>0</v>
      </c>
      <c r="J62" s="831">
        <f t="shared" si="17"/>
        <v>62432.04</v>
      </c>
      <c r="K62" s="420">
        <v>62432.04</v>
      </c>
      <c r="L62" s="419">
        <v>0</v>
      </c>
      <c r="M62" s="735"/>
      <c r="N62" s="338"/>
      <c r="O62" s="338"/>
      <c r="P62" s="338"/>
      <c r="Q62" s="343" t="str">
        <f t="shared" si="19"/>
        <v>2012</v>
      </c>
      <c r="R62" s="342">
        <f t="shared" si="20"/>
        <v>62190</v>
      </c>
      <c r="S62" s="341">
        <f t="shared" si="21"/>
        <v>61169</v>
      </c>
      <c r="T62" s="341">
        <f t="shared" si="22"/>
        <v>62432.04</v>
      </c>
      <c r="U62" s="350"/>
      <c r="V62" s="350"/>
      <c r="W62" s="350"/>
      <c r="X62" s="350"/>
      <c r="Y62" s="350"/>
      <c r="Z62" s="350"/>
      <c r="AA62" s="350"/>
      <c r="AB62" s="350"/>
      <c r="AC62" s="350"/>
      <c r="AD62" s="350"/>
      <c r="AE62" s="350"/>
    </row>
    <row r="63" spans="1:31" ht="17.399999999999999" customHeight="1" x14ac:dyDescent="0.2">
      <c r="A63" s="888"/>
      <c r="B63" s="614" t="s">
        <v>23</v>
      </c>
      <c r="C63" s="423" t="s">
        <v>296</v>
      </c>
      <c r="D63" s="830">
        <f t="shared" si="16"/>
        <v>61900</v>
      </c>
      <c r="E63" s="800">
        <v>61900</v>
      </c>
      <c r="F63" s="801">
        <v>0</v>
      </c>
      <c r="G63" s="831">
        <f t="shared" si="23"/>
        <v>64494</v>
      </c>
      <c r="H63" s="808">
        <v>64494</v>
      </c>
      <c r="I63" s="809">
        <v>0</v>
      </c>
      <c r="J63" s="831">
        <f t="shared" si="17"/>
        <v>67024.72</v>
      </c>
      <c r="K63" s="420">
        <v>67024.72</v>
      </c>
      <c r="L63" s="419">
        <v>0</v>
      </c>
      <c r="M63" s="735"/>
      <c r="N63" s="338"/>
      <c r="O63" s="338"/>
      <c r="P63" s="338"/>
      <c r="Q63" s="343" t="str">
        <f t="shared" si="19"/>
        <v>2013</v>
      </c>
      <c r="R63" s="342">
        <f t="shared" si="20"/>
        <v>61900</v>
      </c>
      <c r="S63" s="344">
        <f>+E63</f>
        <v>61900</v>
      </c>
      <c r="T63" s="341">
        <f t="shared" si="22"/>
        <v>67024.72</v>
      </c>
      <c r="U63" s="350"/>
      <c r="V63" s="350"/>
      <c r="W63" s="350"/>
      <c r="X63" s="350"/>
      <c r="Y63" s="350"/>
      <c r="Z63" s="350"/>
      <c r="AA63" s="350"/>
      <c r="AB63" s="350"/>
      <c r="AC63" s="350"/>
      <c r="AD63" s="350"/>
      <c r="AE63" s="350"/>
    </row>
    <row r="64" spans="1:31" ht="17.399999999999999" customHeight="1" x14ac:dyDescent="0.2">
      <c r="A64" s="888"/>
      <c r="B64" s="614" t="s">
        <v>23</v>
      </c>
      <c r="C64" s="423" t="s">
        <v>297</v>
      </c>
      <c r="D64" s="830">
        <f t="shared" si="16"/>
        <v>56100</v>
      </c>
      <c r="E64" s="800">
        <v>56100</v>
      </c>
      <c r="F64" s="801">
        <v>0</v>
      </c>
      <c r="G64" s="831">
        <f t="shared" si="23"/>
        <v>57038</v>
      </c>
      <c r="H64" s="808">
        <v>57038</v>
      </c>
      <c r="I64" s="809">
        <v>0</v>
      </c>
      <c r="J64" s="831">
        <f t="shared" si="17"/>
        <v>66373.16</v>
      </c>
      <c r="K64" s="420">
        <v>66373.16</v>
      </c>
      <c r="L64" s="419">
        <v>0</v>
      </c>
      <c r="M64" s="735"/>
      <c r="N64" s="338"/>
      <c r="O64" s="338"/>
      <c r="P64" s="338"/>
      <c r="Q64" s="343" t="str">
        <f t="shared" si="19"/>
        <v>2014</v>
      </c>
      <c r="R64" s="342">
        <f t="shared" si="20"/>
        <v>56100</v>
      </c>
      <c r="S64" s="344">
        <f>+E64</f>
        <v>56100</v>
      </c>
      <c r="T64" s="341">
        <f t="shared" si="22"/>
        <v>66373.16</v>
      </c>
      <c r="U64" s="350"/>
      <c r="V64" s="350"/>
      <c r="W64" s="350"/>
      <c r="X64" s="350"/>
      <c r="Y64" s="350"/>
      <c r="Z64" s="350"/>
      <c r="AA64" s="350"/>
      <c r="AB64" s="350"/>
      <c r="AC64" s="350"/>
      <c r="AD64" s="350"/>
      <c r="AE64" s="350"/>
    </row>
    <row r="65" spans="1:31" ht="17.399999999999999" customHeight="1" x14ac:dyDescent="0.2">
      <c r="A65" s="888"/>
      <c r="B65" s="614" t="s">
        <v>23</v>
      </c>
      <c r="C65" s="423" t="s">
        <v>298</v>
      </c>
      <c r="D65" s="830">
        <f t="shared" si="16"/>
        <v>56600</v>
      </c>
      <c r="E65" s="800">
        <v>56516</v>
      </c>
      <c r="F65" s="801">
        <v>84</v>
      </c>
      <c r="G65" s="831">
        <f t="shared" si="23"/>
        <v>64910</v>
      </c>
      <c r="H65" s="808">
        <v>64830.239999999998</v>
      </c>
      <c r="I65" s="809">
        <v>79.760000000000005</v>
      </c>
      <c r="J65" s="831">
        <f t="shared" si="17"/>
        <v>69154.53</v>
      </c>
      <c r="K65" s="420">
        <v>69154.53</v>
      </c>
      <c r="L65" s="419">
        <v>0</v>
      </c>
      <c r="M65" s="735"/>
      <c r="N65" s="338"/>
      <c r="O65" s="338"/>
      <c r="P65" s="338"/>
      <c r="Q65" s="343" t="str">
        <f t="shared" si="19"/>
        <v>2015</v>
      </c>
      <c r="R65" s="342">
        <f t="shared" si="20"/>
        <v>56600</v>
      </c>
      <c r="S65" s="341">
        <f>+G65</f>
        <v>64910</v>
      </c>
      <c r="T65" s="341">
        <f t="shared" si="22"/>
        <v>69154.53</v>
      </c>
      <c r="U65" s="350"/>
      <c r="V65" s="350"/>
      <c r="W65" s="350"/>
      <c r="X65" s="350"/>
      <c r="Y65" s="350"/>
      <c r="Z65" s="350"/>
      <c r="AA65" s="350"/>
      <c r="AB65" s="350"/>
      <c r="AC65" s="350"/>
      <c r="AD65" s="350"/>
      <c r="AE65" s="350"/>
    </row>
    <row r="66" spans="1:31" ht="17.399999999999999" customHeight="1" thickBot="1" x14ac:dyDescent="0.25">
      <c r="A66" s="889"/>
      <c r="B66" s="614" t="s">
        <v>23</v>
      </c>
      <c r="C66" s="423" t="s">
        <v>438</v>
      </c>
      <c r="D66" s="832">
        <f t="shared" si="16"/>
        <v>58100</v>
      </c>
      <c r="E66" s="812">
        <v>57608</v>
      </c>
      <c r="F66" s="813">
        <v>492</v>
      </c>
      <c r="G66" s="833">
        <f t="shared" si="23"/>
        <v>0</v>
      </c>
      <c r="H66" s="814"/>
      <c r="I66" s="815"/>
      <c r="J66" s="833">
        <f t="shared" si="17"/>
        <v>0</v>
      </c>
      <c r="K66" s="418"/>
      <c r="L66" s="417"/>
      <c r="M66" s="735"/>
      <c r="N66" s="338"/>
      <c r="O66" s="338"/>
      <c r="P66" s="338"/>
      <c r="Q66" s="343" t="str">
        <f t="shared" si="19"/>
        <v>2016</v>
      </c>
      <c r="R66" s="342">
        <f t="shared" si="20"/>
        <v>58100</v>
      </c>
      <c r="S66" s="341">
        <f>+G66</f>
        <v>0</v>
      </c>
      <c r="T66" s="341">
        <f t="shared" si="22"/>
        <v>0</v>
      </c>
      <c r="U66" s="350"/>
      <c r="V66" s="350"/>
      <c r="W66" s="350"/>
      <c r="X66" s="350"/>
      <c r="Y66" s="350"/>
      <c r="Z66" s="350"/>
      <c r="AA66" s="350"/>
      <c r="AB66" s="350"/>
      <c r="AC66" s="350"/>
      <c r="AD66" s="350"/>
      <c r="AE66" s="350"/>
    </row>
    <row r="67" spans="1:31" ht="57" customHeight="1" thickBot="1" x14ac:dyDescent="0.25">
      <c r="A67" s="887" t="s">
        <v>215</v>
      </c>
      <c r="B67" s="609" t="s">
        <v>204</v>
      </c>
      <c r="C67" s="412" t="s">
        <v>384</v>
      </c>
      <c r="D67" s="411" t="s">
        <v>383</v>
      </c>
      <c r="E67" s="410" t="s">
        <v>390</v>
      </c>
      <c r="F67" s="409" t="s">
        <v>389</v>
      </c>
      <c r="G67" s="838" t="s">
        <v>382</v>
      </c>
      <c r="H67" s="839" t="s">
        <v>388</v>
      </c>
      <c r="I67" s="840" t="s">
        <v>387</v>
      </c>
      <c r="J67" s="408" t="s">
        <v>381</v>
      </c>
      <c r="K67" s="407" t="s">
        <v>393</v>
      </c>
      <c r="L67" s="406" t="s">
        <v>392</v>
      </c>
      <c r="Q67" s="349" t="s">
        <v>384</v>
      </c>
      <c r="R67" s="348" t="s">
        <v>383</v>
      </c>
      <c r="S67" s="347" t="s">
        <v>382</v>
      </c>
      <c r="T67" s="346" t="s">
        <v>381</v>
      </c>
    </row>
    <row r="68" spans="1:31" ht="15" hidden="1" customHeight="1" outlineLevel="1" x14ac:dyDescent="0.2">
      <c r="A68" s="888"/>
      <c r="B68" s="614" t="s">
        <v>41</v>
      </c>
      <c r="C68" s="435" t="s">
        <v>434</v>
      </c>
      <c r="D68" s="405">
        <f t="shared" ref="D68:D88" si="24">SUM(E68+F68)</f>
        <v>13250</v>
      </c>
      <c r="E68" s="404">
        <v>13250</v>
      </c>
      <c r="F68" s="403">
        <v>0</v>
      </c>
      <c r="G68" s="402">
        <f>SUM(H68+I68)</f>
        <v>6020.11</v>
      </c>
      <c r="H68" s="401">
        <v>6020.11</v>
      </c>
      <c r="I68" s="400">
        <v>0</v>
      </c>
      <c r="J68" s="402">
        <f t="shared" ref="J68:J88" si="25">SUM(K68:L68)</f>
        <v>7156.2800000000007</v>
      </c>
      <c r="K68" s="401">
        <v>7144.47</v>
      </c>
      <c r="L68" s="400">
        <v>11.81</v>
      </c>
      <c r="M68" s="734">
        <f t="shared" ref="M68:M76" si="26">SUM(K68:L68)</f>
        <v>7156.2800000000007</v>
      </c>
      <c r="N68" s="338"/>
      <c r="O68" s="338"/>
      <c r="P68" s="338"/>
      <c r="Q68" s="345" t="str">
        <f t="shared" ref="Q68:Q88" si="27">+C68</f>
        <v>1996</v>
      </c>
      <c r="R68" s="342">
        <f t="shared" ref="R68:R88" si="28">+D68</f>
        <v>13250</v>
      </c>
      <c r="S68" s="341">
        <f t="shared" ref="S68:S88" si="29">+G68</f>
        <v>6020.11</v>
      </c>
      <c r="T68" s="341">
        <f t="shared" ref="T68:T88" si="30">+J68</f>
        <v>7156.2800000000007</v>
      </c>
      <c r="U68" s="391"/>
      <c r="V68" s="391"/>
      <c r="W68" s="391"/>
      <c r="X68" s="391"/>
      <c r="Y68" s="391"/>
      <c r="Z68" s="391"/>
      <c r="AA68" s="391"/>
      <c r="AB68" s="391"/>
      <c r="AC68" s="391"/>
      <c r="AD68" s="391"/>
      <c r="AE68" s="391"/>
    </row>
    <row r="69" spans="1:31" ht="15" hidden="1" customHeight="1" outlineLevel="1" x14ac:dyDescent="0.2">
      <c r="A69" s="888"/>
      <c r="B69" s="614" t="s">
        <v>41</v>
      </c>
      <c r="C69" s="399" t="s">
        <v>435</v>
      </c>
      <c r="D69" s="398">
        <f t="shared" si="24"/>
        <v>21300</v>
      </c>
      <c r="E69" s="397">
        <v>21300</v>
      </c>
      <c r="F69" s="396">
        <v>0</v>
      </c>
      <c r="G69" s="395">
        <f>SUM(H69+I69)</f>
        <v>38030</v>
      </c>
      <c r="H69" s="394">
        <v>38030</v>
      </c>
      <c r="I69" s="393">
        <v>0</v>
      </c>
      <c r="J69" s="395">
        <f t="shared" si="25"/>
        <v>6192.79</v>
      </c>
      <c r="K69" s="394">
        <v>6192.79</v>
      </c>
      <c r="L69" s="393">
        <v>0</v>
      </c>
      <c r="M69" s="734">
        <f t="shared" si="26"/>
        <v>6192.79</v>
      </c>
      <c r="N69" s="338"/>
      <c r="O69" s="338"/>
      <c r="P69" s="338"/>
      <c r="Q69" s="345" t="str">
        <f t="shared" si="27"/>
        <v>1997</v>
      </c>
      <c r="R69" s="342">
        <f t="shared" si="28"/>
        <v>21300</v>
      </c>
      <c r="S69" s="341">
        <f t="shared" si="29"/>
        <v>38030</v>
      </c>
      <c r="T69" s="341">
        <f t="shared" si="30"/>
        <v>6192.79</v>
      </c>
      <c r="U69" s="391"/>
      <c r="V69" s="391"/>
      <c r="W69" s="391"/>
      <c r="X69" s="391"/>
      <c r="Y69" s="391"/>
      <c r="Z69" s="391"/>
      <c r="AA69" s="391"/>
      <c r="AB69" s="391"/>
      <c r="AC69" s="391"/>
      <c r="AD69" s="391"/>
      <c r="AE69" s="391"/>
    </row>
    <row r="70" spans="1:31" ht="15" hidden="1" customHeight="1" outlineLevel="1" x14ac:dyDescent="0.2">
      <c r="A70" s="888"/>
      <c r="B70" s="614" t="s">
        <v>41</v>
      </c>
      <c r="C70" s="399" t="s">
        <v>436</v>
      </c>
      <c r="D70" s="398">
        <f t="shared" si="24"/>
        <v>25150</v>
      </c>
      <c r="E70" s="397">
        <v>25150</v>
      </c>
      <c r="F70" s="396">
        <v>0</v>
      </c>
      <c r="G70" s="395">
        <f>SUM(H70:I70)</f>
        <v>4307</v>
      </c>
      <c r="H70" s="394">
        <v>4307</v>
      </c>
      <c r="I70" s="393">
        <v>0</v>
      </c>
      <c r="J70" s="395">
        <f t="shared" si="25"/>
        <v>15520.96</v>
      </c>
      <c r="K70" s="394">
        <v>15520.96</v>
      </c>
      <c r="L70" s="393">
        <v>0</v>
      </c>
      <c r="M70" s="734">
        <f t="shared" si="26"/>
        <v>15520.96</v>
      </c>
      <c r="N70" s="338"/>
      <c r="O70" s="338"/>
      <c r="P70" s="338"/>
      <c r="Q70" s="345" t="str">
        <f t="shared" si="27"/>
        <v>1998</v>
      </c>
      <c r="R70" s="342">
        <f t="shared" si="28"/>
        <v>25150</v>
      </c>
      <c r="S70" s="341">
        <f t="shared" si="29"/>
        <v>4307</v>
      </c>
      <c r="T70" s="341">
        <f t="shared" si="30"/>
        <v>15520.96</v>
      </c>
      <c r="U70" s="391"/>
      <c r="V70" s="391"/>
      <c r="W70" s="391"/>
      <c r="X70" s="391"/>
      <c r="Y70" s="391"/>
      <c r="Z70" s="391"/>
      <c r="AA70" s="391"/>
      <c r="AB70" s="391"/>
      <c r="AC70" s="391"/>
      <c r="AD70" s="391"/>
      <c r="AE70" s="391"/>
    </row>
    <row r="71" spans="1:31" ht="15" hidden="1" customHeight="1" outlineLevel="1" x14ac:dyDescent="0.2">
      <c r="A71" s="888"/>
      <c r="B71" s="614" t="s">
        <v>41</v>
      </c>
      <c r="C71" s="389" t="s">
        <v>437</v>
      </c>
      <c r="D71" s="388">
        <f t="shared" si="24"/>
        <v>11700</v>
      </c>
      <c r="E71" s="386">
        <v>11700</v>
      </c>
      <c r="F71" s="381">
        <v>0</v>
      </c>
      <c r="G71" s="383">
        <f t="shared" ref="G71:G88" si="31">SUM(H71+I71)</f>
        <v>28275</v>
      </c>
      <c r="H71" s="384">
        <v>28275</v>
      </c>
      <c r="I71" s="392">
        <v>0</v>
      </c>
      <c r="J71" s="383">
        <f t="shared" si="25"/>
        <v>29693.78</v>
      </c>
      <c r="K71" s="384">
        <v>29693.78</v>
      </c>
      <c r="L71" s="392">
        <v>0</v>
      </c>
      <c r="M71" s="734">
        <f t="shared" si="26"/>
        <v>29693.78</v>
      </c>
      <c r="N71" s="338"/>
      <c r="O71" s="338"/>
      <c r="P71" s="338"/>
      <c r="Q71" s="345" t="str">
        <f t="shared" si="27"/>
        <v>1999</v>
      </c>
      <c r="R71" s="342">
        <f t="shared" si="28"/>
        <v>11700</v>
      </c>
      <c r="S71" s="341">
        <f t="shared" si="29"/>
        <v>28275</v>
      </c>
      <c r="T71" s="341">
        <f t="shared" si="30"/>
        <v>29693.78</v>
      </c>
      <c r="U71" s="391"/>
      <c r="V71" s="391"/>
      <c r="W71" s="391"/>
      <c r="X71" s="391"/>
      <c r="Y71" s="391"/>
      <c r="Z71" s="391"/>
      <c r="AA71" s="391"/>
      <c r="AB71" s="391"/>
      <c r="AC71" s="391"/>
      <c r="AD71" s="391"/>
      <c r="AE71" s="391"/>
    </row>
    <row r="72" spans="1:31" ht="17.399999999999999" hidden="1" customHeight="1" outlineLevel="1" x14ac:dyDescent="0.2">
      <c r="A72" s="888"/>
      <c r="B72" s="614" t="s">
        <v>41</v>
      </c>
      <c r="C72" s="428" t="s">
        <v>283</v>
      </c>
      <c r="D72" s="388">
        <f t="shared" si="24"/>
        <v>26066</v>
      </c>
      <c r="E72" s="384">
        <v>25966</v>
      </c>
      <c r="F72" s="392">
        <v>100</v>
      </c>
      <c r="G72" s="383">
        <f t="shared" si="31"/>
        <v>32097.7</v>
      </c>
      <c r="H72" s="384">
        <v>31934.3</v>
      </c>
      <c r="I72" s="392">
        <v>163.4</v>
      </c>
      <c r="J72" s="383">
        <f t="shared" si="25"/>
        <v>26588.07</v>
      </c>
      <c r="K72" s="380">
        <v>26588.07</v>
      </c>
      <c r="L72" s="379">
        <v>0</v>
      </c>
      <c r="M72" s="734">
        <f t="shared" si="26"/>
        <v>26588.07</v>
      </c>
      <c r="N72" s="338"/>
      <c r="O72" s="338"/>
      <c r="P72" s="338"/>
      <c r="Q72" s="345" t="str">
        <f t="shared" si="27"/>
        <v>2000</v>
      </c>
      <c r="R72" s="342">
        <f t="shared" si="28"/>
        <v>26066</v>
      </c>
      <c r="S72" s="341">
        <f t="shared" si="29"/>
        <v>32097.7</v>
      </c>
      <c r="T72" s="341">
        <f t="shared" si="30"/>
        <v>26588.07</v>
      </c>
      <c r="U72" s="391"/>
      <c r="V72" s="391"/>
      <c r="W72" s="391"/>
      <c r="X72" s="391"/>
      <c r="Y72" s="391"/>
      <c r="Z72" s="391"/>
      <c r="AA72" s="391"/>
      <c r="AB72" s="391"/>
      <c r="AC72" s="391"/>
      <c r="AD72" s="391"/>
      <c r="AE72" s="391"/>
    </row>
    <row r="73" spans="1:31" ht="17.399999999999999" hidden="1" customHeight="1" outlineLevel="1" x14ac:dyDescent="0.2">
      <c r="A73" s="888"/>
      <c r="B73" s="614" t="s">
        <v>41</v>
      </c>
      <c r="C73" s="389" t="s">
        <v>284</v>
      </c>
      <c r="D73" s="388">
        <f t="shared" si="24"/>
        <v>16430</v>
      </c>
      <c r="E73" s="384">
        <v>16430</v>
      </c>
      <c r="F73" s="392">
        <v>0</v>
      </c>
      <c r="G73" s="383">
        <f t="shared" si="31"/>
        <v>16705</v>
      </c>
      <c r="H73" s="384">
        <v>16705</v>
      </c>
      <c r="I73" s="392">
        <v>0</v>
      </c>
      <c r="J73" s="383">
        <f t="shared" si="25"/>
        <v>17111.350000000002</v>
      </c>
      <c r="K73" s="380">
        <v>17059.79</v>
      </c>
      <c r="L73" s="379">
        <v>51.56</v>
      </c>
      <c r="M73" s="734">
        <f t="shared" si="26"/>
        <v>17111.350000000002</v>
      </c>
      <c r="N73" s="338"/>
      <c r="O73" s="338"/>
      <c r="P73" s="338"/>
      <c r="Q73" s="343" t="str">
        <f t="shared" si="27"/>
        <v>2001</v>
      </c>
      <c r="R73" s="342">
        <f t="shared" si="28"/>
        <v>16430</v>
      </c>
      <c r="S73" s="341">
        <f t="shared" si="29"/>
        <v>16705</v>
      </c>
      <c r="T73" s="341">
        <f t="shared" si="30"/>
        <v>17111.350000000002</v>
      </c>
      <c r="U73" s="391"/>
      <c r="V73" s="391"/>
      <c r="W73" s="391"/>
      <c r="X73" s="391"/>
      <c r="Y73" s="391"/>
      <c r="Z73" s="391"/>
      <c r="AA73" s="391"/>
      <c r="AB73" s="391"/>
      <c r="AC73" s="391"/>
      <c r="AD73" s="391"/>
      <c r="AE73" s="391"/>
    </row>
    <row r="74" spans="1:31" ht="17.399999999999999" hidden="1" customHeight="1" outlineLevel="1" x14ac:dyDescent="0.2">
      <c r="A74" s="888"/>
      <c r="B74" s="614" t="s">
        <v>41</v>
      </c>
      <c r="C74" s="389" t="s">
        <v>285</v>
      </c>
      <c r="D74" s="388">
        <f t="shared" si="24"/>
        <v>18328</v>
      </c>
      <c r="E74" s="384">
        <v>18328</v>
      </c>
      <c r="F74" s="392">
        <v>0</v>
      </c>
      <c r="G74" s="383">
        <f t="shared" si="31"/>
        <v>23345</v>
      </c>
      <c r="H74" s="384">
        <v>23345</v>
      </c>
      <c r="I74" s="392">
        <v>0</v>
      </c>
      <c r="J74" s="383">
        <f t="shared" si="25"/>
        <v>21761.929999999997</v>
      </c>
      <c r="K74" s="380">
        <v>21663.26</v>
      </c>
      <c r="L74" s="379">
        <v>98.67</v>
      </c>
      <c r="M74" s="734">
        <f t="shared" si="26"/>
        <v>21761.929999999997</v>
      </c>
      <c r="N74" s="338"/>
      <c r="O74" s="338"/>
      <c r="P74" s="338"/>
      <c r="Q74" s="343" t="str">
        <f t="shared" si="27"/>
        <v>2002</v>
      </c>
      <c r="R74" s="342">
        <f t="shared" si="28"/>
        <v>18328</v>
      </c>
      <c r="S74" s="341">
        <f t="shared" si="29"/>
        <v>23345</v>
      </c>
      <c r="T74" s="341">
        <f t="shared" si="30"/>
        <v>21761.929999999997</v>
      </c>
      <c r="U74" s="391"/>
      <c r="V74" s="391"/>
      <c r="W74" s="391"/>
      <c r="X74" s="391"/>
      <c r="Y74" s="391"/>
      <c r="Z74" s="391"/>
      <c r="AA74" s="391"/>
      <c r="AB74" s="391"/>
      <c r="AC74" s="391"/>
      <c r="AD74" s="391"/>
      <c r="AE74" s="391"/>
    </row>
    <row r="75" spans="1:31" ht="17.399999999999999" hidden="1" customHeight="1" outlineLevel="1" x14ac:dyDescent="0.2">
      <c r="A75" s="888"/>
      <c r="B75" s="614" t="s">
        <v>41</v>
      </c>
      <c r="C75" s="389" t="s">
        <v>286</v>
      </c>
      <c r="D75" s="388">
        <f t="shared" si="24"/>
        <v>19189</v>
      </c>
      <c r="E75" s="384">
        <v>19189</v>
      </c>
      <c r="F75" s="392">
        <v>0</v>
      </c>
      <c r="G75" s="383">
        <f t="shared" si="31"/>
        <v>12070</v>
      </c>
      <c r="H75" s="384">
        <v>12070</v>
      </c>
      <c r="I75" s="392">
        <v>0</v>
      </c>
      <c r="J75" s="383">
        <f t="shared" si="25"/>
        <v>23077.38</v>
      </c>
      <c r="K75" s="380">
        <v>23052.560000000001</v>
      </c>
      <c r="L75" s="379">
        <v>24.82</v>
      </c>
      <c r="M75" s="734">
        <f t="shared" si="26"/>
        <v>23077.38</v>
      </c>
      <c r="N75" s="338"/>
      <c r="O75" s="338"/>
      <c r="P75" s="338"/>
      <c r="Q75" s="343" t="str">
        <f t="shared" si="27"/>
        <v>2003</v>
      </c>
      <c r="R75" s="342">
        <f t="shared" si="28"/>
        <v>19189</v>
      </c>
      <c r="S75" s="341">
        <f t="shared" si="29"/>
        <v>12070</v>
      </c>
      <c r="T75" s="341">
        <f t="shared" si="30"/>
        <v>23077.38</v>
      </c>
      <c r="U75" s="391"/>
      <c r="V75" s="391"/>
      <c r="W75" s="391"/>
      <c r="X75" s="391"/>
      <c r="Y75" s="391"/>
      <c r="Z75" s="391"/>
      <c r="AA75" s="391"/>
      <c r="AB75" s="391"/>
      <c r="AC75" s="391"/>
      <c r="AD75" s="391"/>
      <c r="AE75" s="391"/>
    </row>
    <row r="76" spans="1:31" ht="17.399999999999999" hidden="1" customHeight="1" outlineLevel="1" x14ac:dyDescent="0.2">
      <c r="A76" s="888"/>
      <c r="B76" s="614" t="s">
        <v>41</v>
      </c>
      <c r="C76" s="389" t="s">
        <v>287</v>
      </c>
      <c r="D76" s="388">
        <f t="shared" si="24"/>
        <v>27319</v>
      </c>
      <c r="E76" s="384">
        <v>26799</v>
      </c>
      <c r="F76" s="392">
        <v>520</v>
      </c>
      <c r="G76" s="383">
        <f t="shared" si="31"/>
        <v>20068</v>
      </c>
      <c r="H76" s="384">
        <v>20068</v>
      </c>
      <c r="I76" s="392">
        <v>0</v>
      </c>
      <c r="J76" s="383">
        <f t="shared" si="25"/>
        <v>23489.86</v>
      </c>
      <c r="K76" s="380">
        <v>23489.86</v>
      </c>
      <c r="L76" s="379">
        <v>0</v>
      </c>
      <c r="M76" s="734">
        <f t="shared" si="26"/>
        <v>23489.86</v>
      </c>
      <c r="N76" s="338"/>
      <c r="O76" s="338"/>
      <c r="P76" s="338"/>
      <c r="Q76" s="343" t="str">
        <f t="shared" si="27"/>
        <v>2004</v>
      </c>
      <c r="R76" s="342">
        <f t="shared" si="28"/>
        <v>27319</v>
      </c>
      <c r="S76" s="341">
        <f t="shared" si="29"/>
        <v>20068</v>
      </c>
      <c r="T76" s="341">
        <f t="shared" si="30"/>
        <v>23489.86</v>
      </c>
      <c r="U76" s="391"/>
      <c r="V76" s="391"/>
      <c r="W76" s="391"/>
      <c r="X76" s="391"/>
      <c r="Y76" s="391"/>
      <c r="Z76" s="391"/>
      <c r="AA76" s="391"/>
      <c r="AB76" s="391"/>
      <c r="AC76" s="391"/>
      <c r="AD76" s="391"/>
      <c r="AE76" s="391"/>
    </row>
    <row r="77" spans="1:31" ht="17.399999999999999" hidden="1" customHeight="1" outlineLevel="1" x14ac:dyDescent="0.2">
      <c r="A77" s="888"/>
      <c r="B77" s="614" t="s">
        <v>41</v>
      </c>
      <c r="C77" s="389" t="s">
        <v>288</v>
      </c>
      <c r="D77" s="388">
        <f t="shared" si="24"/>
        <v>20120</v>
      </c>
      <c r="E77" s="384">
        <v>20120</v>
      </c>
      <c r="F77" s="392">
        <v>0</v>
      </c>
      <c r="G77" s="383">
        <f t="shared" si="31"/>
        <v>23487</v>
      </c>
      <c r="H77" s="384">
        <v>22953.8</v>
      </c>
      <c r="I77" s="392">
        <v>533.20000000000005</v>
      </c>
      <c r="J77" s="383">
        <f t="shared" si="25"/>
        <v>35979.17</v>
      </c>
      <c r="K77" s="380">
        <v>35979.17</v>
      </c>
      <c r="L77" s="379">
        <v>0</v>
      </c>
      <c r="M77" s="734"/>
      <c r="N77" s="338"/>
      <c r="O77" s="338"/>
      <c r="P77" s="338"/>
      <c r="Q77" s="343" t="str">
        <f t="shared" si="27"/>
        <v>2005</v>
      </c>
      <c r="R77" s="342">
        <f t="shared" si="28"/>
        <v>20120</v>
      </c>
      <c r="S77" s="341">
        <f t="shared" si="29"/>
        <v>23487</v>
      </c>
      <c r="T77" s="341">
        <f t="shared" si="30"/>
        <v>35979.17</v>
      </c>
      <c r="U77" s="391"/>
      <c r="V77" s="391"/>
      <c r="W77" s="391"/>
      <c r="X77" s="391"/>
      <c r="Y77" s="391"/>
      <c r="Z77" s="391"/>
      <c r="AA77" s="391"/>
      <c r="AB77" s="391"/>
      <c r="AC77" s="391"/>
      <c r="AD77" s="391"/>
      <c r="AE77" s="391"/>
    </row>
    <row r="78" spans="1:31" ht="17.399999999999999" customHeight="1" collapsed="1" x14ac:dyDescent="0.2">
      <c r="A78" s="888"/>
      <c r="B78" s="614" t="s">
        <v>41</v>
      </c>
      <c r="C78" s="389" t="s">
        <v>289</v>
      </c>
      <c r="D78" s="824">
        <f t="shared" si="24"/>
        <v>23250</v>
      </c>
      <c r="E78" s="796">
        <v>23250</v>
      </c>
      <c r="F78" s="797">
        <v>0</v>
      </c>
      <c r="G78" s="827">
        <f t="shared" si="31"/>
        <v>23565</v>
      </c>
      <c r="H78" s="804">
        <v>23565</v>
      </c>
      <c r="I78" s="805">
        <v>0</v>
      </c>
      <c r="J78" s="827">
        <f t="shared" si="25"/>
        <v>26313.84</v>
      </c>
      <c r="K78" s="380">
        <v>25833.06</v>
      </c>
      <c r="L78" s="379">
        <v>480.78</v>
      </c>
      <c r="M78" s="734"/>
      <c r="N78" s="338"/>
      <c r="O78" s="338"/>
      <c r="P78" s="338"/>
      <c r="Q78" s="343" t="str">
        <f t="shared" si="27"/>
        <v>2006</v>
      </c>
      <c r="R78" s="342">
        <f t="shared" si="28"/>
        <v>23250</v>
      </c>
      <c r="S78" s="341">
        <f t="shared" si="29"/>
        <v>23565</v>
      </c>
      <c r="T78" s="341">
        <f t="shared" si="30"/>
        <v>26313.84</v>
      </c>
      <c r="U78" s="391"/>
      <c r="V78" s="391"/>
      <c r="W78" s="391"/>
      <c r="X78" s="391"/>
      <c r="Y78" s="391"/>
      <c r="Z78" s="391"/>
      <c r="AA78" s="391"/>
      <c r="AB78" s="391"/>
      <c r="AC78" s="391"/>
      <c r="AD78" s="391"/>
      <c r="AE78" s="391"/>
    </row>
    <row r="79" spans="1:31" ht="17.399999999999999" customHeight="1" x14ac:dyDescent="0.2">
      <c r="A79" s="888"/>
      <c r="B79" s="614" t="s">
        <v>41</v>
      </c>
      <c r="C79" s="389" t="s">
        <v>290</v>
      </c>
      <c r="D79" s="824">
        <f t="shared" si="24"/>
        <v>13970</v>
      </c>
      <c r="E79" s="796">
        <v>13630</v>
      </c>
      <c r="F79" s="797">
        <v>340</v>
      </c>
      <c r="G79" s="827">
        <f t="shared" si="31"/>
        <v>16772</v>
      </c>
      <c r="H79" s="804">
        <v>16340</v>
      </c>
      <c r="I79" s="805">
        <v>432</v>
      </c>
      <c r="J79" s="827">
        <f t="shared" si="25"/>
        <v>23360.66</v>
      </c>
      <c r="K79" s="380">
        <v>23342.76</v>
      </c>
      <c r="L79" s="379">
        <v>17.899999999999999</v>
      </c>
      <c r="M79" s="734"/>
      <c r="N79" s="338"/>
      <c r="O79" s="338"/>
      <c r="P79" s="338"/>
      <c r="Q79" s="343" t="str">
        <f t="shared" si="27"/>
        <v>2007</v>
      </c>
      <c r="R79" s="342">
        <f t="shared" si="28"/>
        <v>13970</v>
      </c>
      <c r="S79" s="341">
        <f t="shared" si="29"/>
        <v>16772</v>
      </c>
      <c r="T79" s="341">
        <f t="shared" si="30"/>
        <v>23360.66</v>
      </c>
      <c r="U79" s="391"/>
      <c r="V79" s="391"/>
      <c r="W79" s="391"/>
      <c r="X79" s="391"/>
      <c r="Y79" s="391"/>
      <c r="Z79" s="391"/>
      <c r="AA79" s="391"/>
      <c r="AB79" s="391"/>
      <c r="AC79" s="391"/>
      <c r="AD79" s="391"/>
      <c r="AE79" s="391"/>
    </row>
    <row r="80" spans="1:31" ht="17.399999999999999" customHeight="1" x14ac:dyDescent="0.2">
      <c r="A80" s="888"/>
      <c r="B80" s="614" t="s">
        <v>41</v>
      </c>
      <c r="C80" s="389" t="s">
        <v>291</v>
      </c>
      <c r="D80" s="824">
        <f t="shared" si="24"/>
        <v>14000</v>
      </c>
      <c r="E80" s="796">
        <v>14000</v>
      </c>
      <c r="F80" s="797">
        <v>0</v>
      </c>
      <c r="G80" s="827">
        <f t="shared" si="31"/>
        <v>14991</v>
      </c>
      <c r="H80" s="804">
        <v>14991</v>
      </c>
      <c r="I80" s="805">
        <v>0</v>
      </c>
      <c r="J80" s="827">
        <f t="shared" si="25"/>
        <v>17978</v>
      </c>
      <c r="K80" s="380">
        <v>17831</v>
      </c>
      <c r="L80" s="379">
        <v>147</v>
      </c>
      <c r="M80" s="734"/>
      <c r="N80" s="338"/>
      <c r="O80" s="338"/>
      <c r="P80" s="338"/>
      <c r="Q80" s="343" t="str">
        <f t="shared" si="27"/>
        <v>2008</v>
      </c>
      <c r="R80" s="342">
        <f t="shared" si="28"/>
        <v>14000</v>
      </c>
      <c r="S80" s="341">
        <f t="shared" si="29"/>
        <v>14991</v>
      </c>
      <c r="T80" s="341">
        <f t="shared" si="30"/>
        <v>17978</v>
      </c>
      <c r="U80" s="391"/>
      <c r="V80" s="391"/>
      <c r="W80" s="391"/>
      <c r="X80" s="391"/>
      <c r="Y80" s="391"/>
      <c r="Z80" s="391"/>
      <c r="AA80" s="391"/>
      <c r="AB80" s="391"/>
      <c r="AC80" s="391"/>
      <c r="AD80" s="391"/>
      <c r="AE80" s="391"/>
    </row>
    <row r="81" spans="1:31" ht="17.399999999999999" customHeight="1" x14ac:dyDescent="0.2">
      <c r="A81" s="888"/>
      <c r="B81" s="614" t="s">
        <v>41</v>
      </c>
      <c r="C81" s="389" t="s">
        <v>292</v>
      </c>
      <c r="D81" s="824">
        <f t="shared" si="24"/>
        <v>17688</v>
      </c>
      <c r="E81" s="796">
        <v>17688</v>
      </c>
      <c r="F81" s="797">
        <v>0</v>
      </c>
      <c r="G81" s="827">
        <f t="shared" si="31"/>
        <v>16200</v>
      </c>
      <c r="H81" s="804">
        <v>16200</v>
      </c>
      <c r="I81" s="805">
        <v>0</v>
      </c>
      <c r="J81" s="827">
        <f t="shared" si="25"/>
        <v>14863.949999999999</v>
      </c>
      <c r="K81" s="380">
        <v>14666.73</v>
      </c>
      <c r="L81" s="379">
        <v>197.22</v>
      </c>
      <c r="M81" s="734"/>
      <c r="N81" s="338"/>
      <c r="O81" s="338"/>
      <c r="P81" s="338"/>
      <c r="Q81" s="343" t="str">
        <f t="shared" si="27"/>
        <v>2009</v>
      </c>
      <c r="R81" s="342">
        <f t="shared" si="28"/>
        <v>17688</v>
      </c>
      <c r="S81" s="341">
        <f t="shared" si="29"/>
        <v>16200</v>
      </c>
      <c r="T81" s="341">
        <f t="shared" si="30"/>
        <v>14863.949999999999</v>
      </c>
      <c r="U81" s="391"/>
      <c r="V81" s="391"/>
      <c r="W81" s="391"/>
      <c r="X81" s="391"/>
      <c r="Y81" s="391"/>
      <c r="Z81" s="391"/>
      <c r="AA81" s="391"/>
      <c r="AB81" s="391"/>
      <c r="AC81" s="391"/>
      <c r="AD81" s="391"/>
      <c r="AE81" s="391"/>
    </row>
    <row r="82" spans="1:31" ht="17.399999999999999" customHeight="1" x14ac:dyDescent="0.2">
      <c r="A82" s="888"/>
      <c r="B82" s="614" t="s">
        <v>41</v>
      </c>
      <c r="C82" s="389" t="s">
        <v>293</v>
      </c>
      <c r="D82" s="824">
        <f t="shared" si="24"/>
        <v>14435</v>
      </c>
      <c r="E82" s="796">
        <v>14435</v>
      </c>
      <c r="F82" s="797">
        <v>0</v>
      </c>
      <c r="G82" s="827">
        <f t="shared" si="31"/>
        <v>17556</v>
      </c>
      <c r="H82" s="804">
        <v>17556</v>
      </c>
      <c r="I82" s="805">
        <v>0</v>
      </c>
      <c r="J82" s="827">
        <f t="shared" si="25"/>
        <v>24678</v>
      </c>
      <c r="K82" s="380">
        <v>24678</v>
      </c>
      <c r="L82" s="379">
        <v>0</v>
      </c>
      <c r="M82" s="734"/>
      <c r="N82" s="338"/>
      <c r="O82" s="338"/>
      <c r="P82" s="338"/>
      <c r="Q82" s="343" t="str">
        <f t="shared" si="27"/>
        <v>2010</v>
      </c>
      <c r="R82" s="342">
        <f t="shared" si="28"/>
        <v>14435</v>
      </c>
      <c r="S82" s="341">
        <f t="shared" si="29"/>
        <v>17556</v>
      </c>
      <c r="T82" s="341">
        <f t="shared" si="30"/>
        <v>24678</v>
      </c>
      <c r="U82" s="391"/>
      <c r="V82" s="391"/>
      <c r="W82" s="391"/>
      <c r="X82" s="391"/>
      <c r="Y82" s="391"/>
      <c r="Z82" s="391"/>
      <c r="AA82" s="391"/>
      <c r="AB82" s="391"/>
      <c r="AC82" s="391"/>
      <c r="AD82" s="391"/>
      <c r="AE82" s="391"/>
    </row>
    <row r="83" spans="1:31" ht="17.399999999999999" customHeight="1" x14ac:dyDescent="0.2">
      <c r="A83" s="888"/>
      <c r="B83" s="614" t="s">
        <v>41</v>
      </c>
      <c r="C83" s="427" t="s">
        <v>294</v>
      </c>
      <c r="D83" s="834">
        <f t="shared" si="24"/>
        <v>14200</v>
      </c>
      <c r="E83" s="798">
        <v>14200</v>
      </c>
      <c r="F83" s="799">
        <v>0</v>
      </c>
      <c r="G83" s="835">
        <f t="shared" si="31"/>
        <v>14862</v>
      </c>
      <c r="H83" s="806">
        <v>14862</v>
      </c>
      <c r="I83" s="807">
        <v>0</v>
      </c>
      <c r="J83" s="835">
        <f t="shared" si="25"/>
        <v>28482</v>
      </c>
      <c r="K83" s="413">
        <v>28482</v>
      </c>
      <c r="L83" s="390">
        <v>0</v>
      </c>
      <c r="M83" s="734"/>
      <c r="N83" s="338"/>
      <c r="O83" s="338"/>
      <c r="P83" s="338"/>
      <c r="Q83" s="343" t="str">
        <f t="shared" si="27"/>
        <v>2011</v>
      </c>
      <c r="R83" s="342">
        <f t="shared" si="28"/>
        <v>14200</v>
      </c>
      <c r="S83" s="341">
        <f t="shared" si="29"/>
        <v>14862</v>
      </c>
      <c r="T83" s="341">
        <f t="shared" si="30"/>
        <v>28482</v>
      </c>
      <c r="U83" s="391"/>
      <c r="V83" s="391"/>
      <c r="W83" s="391"/>
      <c r="X83" s="391"/>
      <c r="Y83" s="391"/>
      <c r="Z83" s="391"/>
      <c r="AA83" s="391"/>
      <c r="AB83" s="391"/>
      <c r="AC83" s="391"/>
      <c r="AD83" s="391"/>
      <c r="AE83" s="391"/>
    </row>
    <row r="84" spans="1:31" ht="17.399999999999999" customHeight="1" x14ac:dyDescent="0.2">
      <c r="A84" s="888"/>
      <c r="B84" s="614" t="s">
        <v>41</v>
      </c>
      <c r="C84" s="423" t="s">
        <v>295</v>
      </c>
      <c r="D84" s="834">
        <f t="shared" si="24"/>
        <v>11300</v>
      </c>
      <c r="E84" s="798">
        <v>11300</v>
      </c>
      <c r="F84" s="799">
        <v>0</v>
      </c>
      <c r="G84" s="835">
        <f t="shared" si="31"/>
        <v>12946</v>
      </c>
      <c r="H84" s="806">
        <v>12946</v>
      </c>
      <c r="I84" s="807">
        <v>0</v>
      </c>
      <c r="J84" s="835">
        <f t="shared" si="25"/>
        <v>19227.53</v>
      </c>
      <c r="K84" s="413">
        <v>19227.53</v>
      </c>
      <c r="L84" s="390">
        <v>0</v>
      </c>
      <c r="M84" s="734"/>
      <c r="N84" s="338"/>
      <c r="O84" s="338"/>
      <c r="P84" s="338"/>
      <c r="Q84" s="343" t="str">
        <f t="shared" si="27"/>
        <v>2012</v>
      </c>
      <c r="R84" s="342">
        <f t="shared" si="28"/>
        <v>11300</v>
      </c>
      <c r="S84" s="341">
        <f t="shared" si="29"/>
        <v>12946</v>
      </c>
      <c r="T84" s="341">
        <f t="shared" si="30"/>
        <v>19227.53</v>
      </c>
      <c r="U84" s="391"/>
      <c r="V84" s="391"/>
      <c r="W84" s="391"/>
      <c r="X84" s="391"/>
      <c r="Y84" s="391"/>
      <c r="Z84" s="391"/>
      <c r="AA84" s="391"/>
      <c r="AB84" s="391"/>
      <c r="AC84" s="391"/>
      <c r="AD84" s="391"/>
      <c r="AE84" s="391"/>
    </row>
    <row r="85" spans="1:31" ht="17.399999999999999" customHeight="1" x14ac:dyDescent="0.2">
      <c r="A85" s="888"/>
      <c r="B85" s="614" t="s">
        <v>41</v>
      </c>
      <c r="C85" s="423" t="s">
        <v>296</v>
      </c>
      <c r="D85" s="834">
        <f t="shared" si="24"/>
        <v>13900</v>
      </c>
      <c r="E85" s="798">
        <v>12800</v>
      </c>
      <c r="F85" s="799">
        <v>1100</v>
      </c>
      <c r="G85" s="835">
        <f t="shared" si="31"/>
        <v>19094</v>
      </c>
      <c r="H85" s="806">
        <v>17661</v>
      </c>
      <c r="I85" s="807">
        <v>1433</v>
      </c>
      <c r="J85" s="835">
        <f t="shared" si="25"/>
        <v>5496.34</v>
      </c>
      <c r="K85" s="413">
        <v>4432.34</v>
      </c>
      <c r="L85" s="390">
        <v>1064</v>
      </c>
      <c r="M85" s="734"/>
      <c r="N85" s="338"/>
      <c r="O85" s="338"/>
      <c r="P85" s="338"/>
      <c r="Q85" s="343" t="str">
        <f t="shared" si="27"/>
        <v>2013</v>
      </c>
      <c r="R85" s="342">
        <f t="shared" si="28"/>
        <v>13900</v>
      </c>
      <c r="S85" s="341">
        <f t="shared" si="29"/>
        <v>19094</v>
      </c>
      <c r="T85" s="341">
        <f t="shared" si="30"/>
        <v>5496.34</v>
      </c>
      <c r="U85" s="391"/>
      <c r="V85" s="391"/>
      <c r="W85" s="391"/>
      <c r="X85" s="391"/>
      <c r="Y85" s="391"/>
      <c r="Z85" s="391"/>
      <c r="AA85" s="391"/>
      <c r="AB85" s="391"/>
      <c r="AC85" s="391"/>
      <c r="AD85" s="391"/>
      <c r="AE85" s="391"/>
    </row>
    <row r="86" spans="1:31" ht="17.399999999999999" customHeight="1" x14ac:dyDescent="0.2">
      <c r="A86" s="888"/>
      <c r="B86" s="614" t="s">
        <v>41</v>
      </c>
      <c r="C86" s="423" t="s">
        <v>297</v>
      </c>
      <c r="D86" s="834">
        <f t="shared" si="24"/>
        <v>20600</v>
      </c>
      <c r="E86" s="798">
        <v>20600</v>
      </c>
      <c r="F86" s="799">
        <v>0</v>
      </c>
      <c r="G86" s="835">
        <f t="shared" si="31"/>
        <v>22278</v>
      </c>
      <c r="H86" s="806">
        <v>22278</v>
      </c>
      <c r="I86" s="807">
        <v>0</v>
      </c>
      <c r="J86" s="835">
        <f t="shared" si="25"/>
        <v>22156.29</v>
      </c>
      <c r="K86" s="413">
        <v>22156.29</v>
      </c>
      <c r="L86" s="390">
        <v>0</v>
      </c>
      <c r="M86" s="734"/>
      <c r="N86" s="338"/>
      <c r="O86" s="338"/>
      <c r="P86" s="338"/>
      <c r="Q86" s="343" t="str">
        <f t="shared" si="27"/>
        <v>2014</v>
      </c>
      <c r="R86" s="342">
        <f t="shared" si="28"/>
        <v>20600</v>
      </c>
      <c r="S86" s="341">
        <f t="shared" si="29"/>
        <v>22278</v>
      </c>
      <c r="T86" s="341">
        <f t="shared" si="30"/>
        <v>22156.29</v>
      </c>
      <c r="U86" s="391"/>
      <c r="V86" s="391"/>
      <c r="W86" s="391"/>
      <c r="X86" s="391"/>
      <c r="Y86" s="391"/>
      <c r="Z86" s="391"/>
      <c r="AA86" s="391"/>
      <c r="AB86" s="391"/>
      <c r="AC86" s="391"/>
      <c r="AD86" s="391"/>
      <c r="AE86" s="391"/>
    </row>
    <row r="87" spans="1:31" ht="17.399999999999999" customHeight="1" x14ac:dyDescent="0.2">
      <c r="A87" s="888"/>
      <c r="B87" s="614" t="s">
        <v>41</v>
      </c>
      <c r="C87" s="423" t="s">
        <v>298</v>
      </c>
      <c r="D87" s="830">
        <f t="shared" si="24"/>
        <v>19000</v>
      </c>
      <c r="E87" s="800">
        <v>17164</v>
      </c>
      <c r="F87" s="801">
        <v>1836</v>
      </c>
      <c r="G87" s="831">
        <f t="shared" si="31"/>
        <v>18854</v>
      </c>
      <c r="H87" s="808">
        <v>16268.9</v>
      </c>
      <c r="I87" s="809">
        <v>2585.1</v>
      </c>
      <c r="J87" s="831">
        <f t="shared" si="25"/>
        <v>18804.739999999998</v>
      </c>
      <c r="K87" s="420">
        <v>18354.48</v>
      </c>
      <c r="L87" s="419">
        <v>450.26</v>
      </c>
      <c r="M87" s="735"/>
      <c r="N87" s="338"/>
      <c r="O87" s="338"/>
      <c r="P87" s="338"/>
      <c r="Q87" s="343" t="str">
        <f t="shared" si="27"/>
        <v>2015</v>
      </c>
      <c r="R87" s="342">
        <f t="shared" si="28"/>
        <v>19000</v>
      </c>
      <c r="S87" s="341">
        <f t="shared" si="29"/>
        <v>18854</v>
      </c>
      <c r="T87" s="341">
        <f t="shared" si="30"/>
        <v>18804.739999999998</v>
      </c>
      <c r="U87" s="350"/>
      <c r="V87" s="350"/>
      <c r="W87" s="350"/>
      <c r="X87" s="350"/>
      <c r="Y87" s="350"/>
      <c r="Z87" s="350"/>
      <c r="AA87" s="350"/>
      <c r="AB87" s="350"/>
      <c r="AC87" s="350"/>
      <c r="AD87" s="350"/>
      <c r="AE87" s="350"/>
    </row>
    <row r="88" spans="1:31" ht="17.399999999999999" customHeight="1" thickBot="1" x14ac:dyDescent="0.25">
      <c r="A88" s="889"/>
      <c r="B88" s="614" t="s">
        <v>41</v>
      </c>
      <c r="C88" s="423" t="s">
        <v>438</v>
      </c>
      <c r="D88" s="832">
        <f t="shared" si="24"/>
        <v>21000</v>
      </c>
      <c r="E88" s="812">
        <v>21000</v>
      </c>
      <c r="F88" s="813">
        <v>0</v>
      </c>
      <c r="G88" s="833">
        <f t="shared" si="31"/>
        <v>0</v>
      </c>
      <c r="H88" s="814"/>
      <c r="I88" s="815"/>
      <c r="J88" s="833">
        <f t="shared" si="25"/>
        <v>0</v>
      </c>
      <c r="K88" s="418"/>
      <c r="L88" s="417"/>
      <c r="M88" s="735"/>
      <c r="N88" s="338"/>
      <c r="O88" s="338"/>
      <c r="P88" s="338"/>
      <c r="Q88" s="343" t="str">
        <f t="shared" si="27"/>
        <v>2016</v>
      </c>
      <c r="R88" s="342">
        <f t="shared" si="28"/>
        <v>21000</v>
      </c>
      <c r="S88" s="341">
        <f t="shared" si="29"/>
        <v>0</v>
      </c>
      <c r="T88" s="341">
        <f t="shared" si="30"/>
        <v>0</v>
      </c>
      <c r="U88" s="350"/>
      <c r="V88" s="350"/>
      <c r="W88" s="350"/>
      <c r="X88" s="350"/>
      <c r="Y88" s="350"/>
      <c r="Z88" s="350"/>
      <c r="AA88" s="350"/>
      <c r="AB88" s="350"/>
      <c r="AC88" s="350"/>
      <c r="AD88" s="350"/>
      <c r="AE88" s="350"/>
    </row>
    <row r="89" spans="1:31" ht="62.4" customHeight="1" thickBot="1" x14ac:dyDescent="0.25">
      <c r="A89" s="887" t="s">
        <v>212</v>
      </c>
      <c r="B89" s="609" t="s">
        <v>204</v>
      </c>
      <c r="C89" s="412" t="s">
        <v>384</v>
      </c>
      <c r="D89" s="411" t="s">
        <v>383</v>
      </c>
      <c r="E89" s="410" t="s">
        <v>390</v>
      </c>
      <c r="F89" s="409" t="s">
        <v>389</v>
      </c>
      <c r="G89" s="838" t="s">
        <v>382</v>
      </c>
      <c r="H89" s="839" t="s">
        <v>388</v>
      </c>
      <c r="I89" s="840" t="s">
        <v>387</v>
      </c>
      <c r="J89" s="408" t="s">
        <v>381</v>
      </c>
      <c r="K89" s="407" t="s">
        <v>393</v>
      </c>
      <c r="L89" s="406" t="s">
        <v>392</v>
      </c>
      <c r="Q89" s="349" t="s">
        <v>384</v>
      </c>
      <c r="R89" s="348" t="s">
        <v>383</v>
      </c>
      <c r="S89" s="347" t="s">
        <v>382</v>
      </c>
      <c r="T89" s="346" t="s">
        <v>381</v>
      </c>
    </row>
    <row r="90" spans="1:31" ht="15" hidden="1" customHeight="1" outlineLevel="1" x14ac:dyDescent="0.2">
      <c r="A90" s="888"/>
      <c r="B90" s="614" t="s">
        <v>20</v>
      </c>
      <c r="C90" s="435" t="s">
        <v>434</v>
      </c>
      <c r="D90" s="405">
        <f t="shared" ref="D90:D110" si="32">SUM(E90+F90)</f>
        <v>10974</v>
      </c>
      <c r="E90" s="404">
        <v>10843.35</v>
      </c>
      <c r="F90" s="403">
        <v>130.65</v>
      </c>
      <c r="G90" s="402">
        <f>SUM(H90+I90)</f>
        <v>19733</v>
      </c>
      <c r="H90" s="401">
        <v>18654.63</v>
      </c>
      <c r="I90" s="400">
        <v>1078.3699999999999</v>
      </c>
      <c r="J90" s="402">
        <f t="shared" ref="J90:J110" si="33">SUM(K90:L90)</f>
        <v>10376.41</v>
      </c>
      <c r="K90" s="401">
        <v>6042.09</v>
      </c>
      <c r="L90" s="400">
        <v>4334.32</v>
      </c>
      <c r="M90" s="734">
        <f t="shared" ref="M90:M98" si="34">SUM(K90:L90)</f>
        <v>10376.41</v>
      </c>
      <c r="N90" s="338"/>
      <c r="O90" s="338"/>
      <c r="P90" s="338"/>
      <c r="Q90" s="345" t="str">
        <f t="shared" ref="Q90:Q110" si="35">+C90</f>
        <v>1996</v>
      </c>
      <c r="R90" s="342">
        <f t="shared" ref="R90:R110" si="36">+D90</f>
        <v>10974</v>
      </c>
      <c r="S90" s="341">
        <f t="shared" ref="S90:S110" si="37">+G90</f>
        <v>19733</v>
      </c>
      <c r="T90" s="341">
        <f t="shared" ref="T90:T110" si="38">+J90</f>
        <v>10376.41</v>
      </c>
      <c r="U90" s="391"/>
      <c r="V90" s="391"/>
      <c r="W90" s="391"/>
      <c r="X90" s="391"/>
      <c r="Y90" s="391"/>
      <c r="Z90" s="391"/>
      <c r="AA90" s="391"/>
      <c r="AB90" s="391"/>
      <c r="AC90" s="391"/>
      <c r="AD90" s="391"/>
      <c r="AE90" s="391"/>
    </row>
    <row r="91" spans="1:31" ht="15" hidden="1" customHeight="1" outlineLevel="1" x14ac:dyDescent="0.2">
      <c r="A91" s="888"/>
      <c r="B91" s="614" t="s">
        <v>20</v>
      </c>
      <c r="C91" s="399" t="s">
        <v>435</v>
      </c>
      <c r="D91" s="398">
        <f t="shared" si="32"/>
        <v>17000</v>
      </c>
      <c r="E91" s="397">
        <v>14107</v>
      </c>
      <c r="F91" s="396">
        <v>2893</v>
      </c>
      <c r="G91" s="395">
        <f>SUM(H91+I91)</f>
        <v>16874</v>
      </c>
      <c r="H91" s="394">
        <v>14986.94</v>
      </c>
      <c r="I91" s="393">
        <v>1887.06</v>
      </c>
      <c r="J91" s="395">
        <f t="shared" si="33"/>
        <v>16601.490000000002</v>
      </c>
      <c r="K91" s="394">
        <v>15891.87</v>
      </c>
      <c r="L91" s="393">
        <v>709.62</v>
      </c>
      <c r="M91" s="734">
        <f t="shared" si="34"/>
        <v>16601.490000000002</v>
      </c>
      <c r="N91" s="338"/>
      <c r="O91" s="338"/>
      <c r="P91" s="338"/>
      <c r="Q91" s="345" t="str">
        <f t="shared" si="35"/>
        <v>1997</v>
      </c>
      <c r="R91" s="342">
        <f t="shared" si="36"/>
        <v>17000</v>
      </c>
      <c r="S91" s="341">
        <f t="shared" si="37"/>
        <v>16874</v>
      </c>
      <c r="T91" s="341">
        <f t="shared" si="38"/>
        <v>16601.490000000002</v>
      </c>
      <c r="U91" s="391"/>
      <c r="V91" s="391"/>
      <c r="W91" s="391"/>
      <c r="X91" s="391"/>
      <c r="Y91" s="391"/>
      <c r="Z91" s="391"/>
      <c r="AA91" s="391"/>
      <c r="AB91" s="391"/>
      <c r="AC91" s="391"/>
      <c r="AD91" s="391"/>
      <c r="AE91" s="391"/>
    </row>
    <row r="92" spans="1:31" ht="15" hidden="1" customHeight="1" outlineLevel="1" x14ac:dyDescent="0.2">
      <c r="A92" s="888"/>
      <c r="B92" s="614" t="s">
        <v>20</v>
      </c>
      <c r="C92" s="399" t="s">
        <v>436</v>
      </c>
      <c r="D92" s="398">
        <f t="shared" si="32"/>
        <v>14400</v>
      </c>
      <c r="E92" s="397">
        <v>9932</v>
      </c>
      <c r="F92" s="396">
        <v>4468</v>
      </c>
      <c r="G92" s="395">
        <f>SUM(H92:I92)</f>
        <v>8243</v>
      </c>
      <c r="H92" s="394">
        <v>5288.79</v>
      </c>
      <c r="I92" s="393">
        <v>2954.21</v>
      </c>
      <c r="J92" s="395">
        <f t="shared" si="33"/>
        <v>14079.65</v>
      </c>
      <c r="K92" s="394">
        <v>13595.38</v>
      </c>
      <c r="L92" s="393">
        <v>484.27</v>
      </c>
      <c r="M92" s="734">
        <f t="shared" si="34"/>
        <v>14079.65</v>
      </c>
      <c r="N92" s="338"/>
      <c r="O92" s="338"/>
      <c r="P92" s="338"/>
      <c r="Q92" s="345" t="str">
        <f t="shared" si="35"/>
        <v>1998</v>
      </c>
      <c r="R92" s="342">
        <f t="shared" si="36"/>
        <v>14400</v>
      </c>
      <c r="S92" s="341">
        <f t="shared" si="37"/>
        <v>8243</v>
      </c>
      <c r="T92" s="341">
        <f t="shared" si="38"/>
        <v>14079.65</v>
      </c>
      <c r="U92" s="391"/>
      <c r="V92" s="391"/>
      <c r="W92" s="391"/>
      <c r="X92" s="391"/>
      <c r="Y92" s="391"/>
      <c r="Z92" s="391"/>
      <c r="AA92" s="391"/>
      <c r="AB92" s="391"/>
      <c r="AC92" s="391"/>
      <c r="AD92" s="391"/>
      <c r="AE92" s="391"/>
    </row>
    <row r="93" spans="1:31" ht="15" hidden="1" customHeight="1" outlineLevel="1" x14ac:dyDescent="0.2">
      <c r="A93" s="888"/>
      <c r="B93" s="614" t="s">
        <v>20</v>
      </c>
      <c r="C93" s="389" t="s">
        <v>437</v>
      </c>
      <c r="D93" s="388">
        <f t="shared" si="32"/>
        <v>11200</v>
      </c>
      <c r="E93" s="386">
        <v>9518</v>
      </c>
      <c r="F93" s="381">
        <v>1682</v>
      </c>
      <c r="G93" s="383">
        <f t="shared" ref="G93:G110" si="39">SUM(H93+I93)</f>
        <v>13391</v>
      </c>
      <c r="H93" s="384">
        <v>9994.7099999999991</v>
      </c>
      <c r="I93" s="392">
        <v>3396.29</v>
      </c>
      <c r="J93" s="383">
        <f t="shared" si="33"/>
        <v>27843.54</v>
      </c>
      <c r="K93" s="384">
        <v>22835.55</v>
      </c>
      <c r="L93" s="392">
        <v>5007.99</v>
      </c>
      <c r="M93" s="734">
        <f t="shared" si="34"/>
        <v>27843.54</v>
      </c>
      <c r="N93" s="338"/>
      <c r="O93" s="338"/>
      <c r="P93" s="338"/>
      <c r="Q93" s="345" t="str">
        <f t="shared" si="35"/>
        <v>1999</v>
      </c>
      <c r="R93" s="342">
        <f t="shared" si="36"/>
        <v>11200</v>
      </c>
      <c r="S93" s="341">
        <f t="shared" si="37"/>
        <v>13391</v>
      </c>
      <c r="T93" s="341">
        <f t="shared" si="38"/>
        <v>27843.54</v>
      </c>
      <c r="U93" s="391"/>
      <c r="V93" s="391"/>
      <c r="W93" s="391"/>
      <c r="X93" s="391"/>
      <c r="Y93" s="391"/>
      <c r="Z93" s="391"/>
      <c r="AA93" s="391"/>
      <c r="AB93" s="391"/>
      <c r="AC93" s="391"/>
      <c r="AD93" s="391"/>
      <c r="AE93" s="391"/>
    </row>
    <row r="94" spans="1:31" ht="17.399999999999999" hidden="1" customHeight="1" outlineLevel="1" x14ac:dyDescent="0.2">
      <c r="A94" s="888"/>
      <c r="B94" s="614" t="s">
        <v>20</v>
      </c>
      <c r="C94" s="428" t="s">
        <v>283</v>
      </c>
      <c r="D94" s="388">
        <f t="shared" si="32"/>
        <v>11600</v>
      </c>
      <c r="E94" s="384">
        <v>9148</v>
      </c>
      <c r="F94" s="392">
        <v>2452</v>
      </c>
      <c r="G94" s="383">
        <f t="shared" si="39"/>
        <v>13061</v>
      </c>
      <c r="H94" s="384">
        <v>12252.67</v>
      </c>
      <c r="I94" s="392">
        <v>808.33</v>
      </c>
      <c r="J94" s="383">
        <f t="shared" si="33"/>
        <v>14894.380000000001</v>
      </c>
      <c r="K94" s="380">
        <v>11723.76</v>
      </c>
      <c r="L94" s="379">
        <v>3170.62</v>
      </c>
      <c r="M94" s="734">
        <f t="shared" si="34"/>
        <v>14894.380000000001</v>
      </c>
      <c r="N94" s="338"/>
      <c r="O94" s="338"/>
      <c r="P94" s="338"/>
      <c r="Q94" s="345" t="str">
        <f t="shared" si="35"/>
        <v>2000</v>
      </c>
      <c r="R94" s="342">
        <f t="shared" si="36"/>
        <v>11600</v>
      </c>
      <c r="S94" s="341">
        <f t="shared" si="37"/>
        <v>13061</v>
      </c>
      <c r="T94" s="341">
        <f t="shared" si="38"/>
        <v>14894.380000000001</v>
      </c>
      <c r="U94" s="391"/>
      <c r="V94" s="391"/>
      <c r="W94" s="391"/>
      <c r="X94" s="391"/>
      <c r="Y94" s="391"/>
      <c r="Z94" s="391"/>
      <c r="AA94" s="391"/>
      <c r="AB94" s="391"/>
      <c r="AC94" s="391"/>
      <c r="AD94" s="391"/>
      <c r="AE94" s="391"/>
    </row>
    <row r="95" spans="1:31" ht="17.399999999999999" hidden="1" customHeight="1" outlineLevel="1" x14ac:dyDescent="0.2">
      <c r="A95" s="888"/>
      <c r="B95" s="614" t="s">
        <v>20</v>
      </c>
      <c r="C95" s="389" t="s">
        <v>284</v>
      </c>
      <c r="D95" s="388">
        <f t="shared" si="32"/>
        <v>8600</v>
      </c>
      <c r="E95" s="384">
        <v>6865</v>
      </c>
      <c r="F95" s="392">
        <v>1735</v>
      </c>
      <c r="G95" s="383">
        <f t="shared" si="39"/>
        <v>9498</v>
      </c>
      <c r="H95" s="384">
        <v>7098.66</v>
      </c>
      <c r="I95" s="392">
        <v>2399.34</v>
      </c>
      <c r="J95" s="383">
        <f t="shared" si="33"/>
        <v>6401.76</v>
      </c>
      <c r="K95" s="380">
        <v>5282.14</v>
      </c>
      <c r="L95" s="379">
        <v>1119.6199999999999</v>
      </c>
      <c r="M95" s="734">
        <f t="shared" si="34"/>
        <v>6401.76</v>
      </c>
      <c r="N95" s="338"/>
      <c r="O95" s="338"/>
      <c r="P95" s="338"/>
      <c r="Q95" s="343" t="str">
        <f t="shared" si="35"/>
        <v>2001</v>
      </c>
      <c r="R95" s="342">
        <f t="shared" si="36"/>
        <v>8600</v>
      </c>
      <c r="S95" s="341">
        <f t="shared" si="37"/>
        <v>9498</v>
      </c>
      <c r="T95" s="341">
        <f t="shared" si="38"/>
        <v>6401.76</v>
      </c>
      <c r="U95" s="391"/>
      <c r="V95" s="391"/>
      <c r="W95" s="391"/>
      <c r="X95" s="391"/>
      <c r="Y95" s="391"/>
      <c r="Z95" s="391"/>
      <c r="AA95" s="391"/>
      <c r="AB95" s="391"/>
      <c r="AC95" s="391"/>
      <c r="AD95" s="391"/>
      <c r="AE95" s="391"/>
    </row>
    <row r="96" spans="1:31" ht="17.399999999999999" hidden="1" customHeight="1" outlineLevel="1" x14ac:dyDescent="0.2">
      <c r="A96" s="888"/>
      <c r="B96" s="614" t="s">
        <v>20</v>
      </c>
      <c r="C96" s="389" t="s">
        <v>285</v>
      </c>
      <c r="D96" s="388">
        <f t="shared" si="32"/>
        <v>10700</v>
      </c>
      <c r="E96" s="384">
        <v>10114</v>
      </c>
      <c r="F96" s="392">
        <v>586</v>
      </c>
      <c r="G96" s="383">
        <f t="shared" si="39"/>
        <v>8549</v>
      </c>
      <c r="H96" s="384">
        <v>7254.55</v>
      </c>
      <c r="I96" s="392">
        <v>1294.45</v>
      </c>
      <c r="J96" s="383">
        <f t="shared" si="33"/>
        <v>12560.5</v>
      </c>
      <c r="K96" s="380">
        <v>10957.51</v>
      </c>
      <c r="L96" s="379">
        <v>1602.99</v>
      </c>
      <c r="M96" s="734">
        <f t="shared" si="34"/>
        <v>12560.5</v>
      </c>
      <c r="N96" s="338"/>
      <c r="O96" s="338"/>
      <c r="P96" s="338"/>
      <c r="Q96" s="343" t="str">
        <f t="shared" si="35"/>
        <v>2002</v>
      </c>
      <c r="R96" s="342">
        <f t="shared" si="36"/>
        <v>10700</v>
      </c>
      <c r="S96" s="341">
        <f t="shared" si="37"/>
        <v>8549</v>
      </c>
      <c r="T96" s="341">
        <f t="shared" si="38"/>
        <v>12560.5</v>
      </c>
      <c r="U96" s="391"/>
      <c r="V96" s="391"/>
      <c r="W96" s="391"/>
      <c r="X96" s="391"/>
      <c r="Y96" s="391"/>
      <c r="Z96" s="391"/>
      <c r="AA96" s="391"/>
      <c r="AB96" s="391"/>
      <c r="AC96" s="391"/>
      <c r="AD96" s="391"/>
      <c r="AE96" s="391"/>
    </row>
    <row r="97" spans="1:31" ht="17.399999999999999" hidden="1" customHeight="1" outlineLevel="1" x14ac:dyDescent="0.2">
      <c r="A97" s="888"/>
      <c r="B97" s="614" t="s">
        <v>20</v>
      </c>
      <c r="C97" s="389" t="s">
        <v>286</v>
      </c>
      <c r="D97" s="388">
        <f t="shared" si="32"/>
        <v>8200</v>
      </c>
      <c r="E97" s="384">
        <v>6823</v>
      </c>
      <c r="F97" s="392">
        <v>1377</v>
      </c>
      <c r="G97" s="383">
        <f t="shared" si="39"/>
        <v>13019</v>
      </c>
      <c r="H97" s="384">
        <v>11825.3</v>
      </c>
      <c r="I97" s="392">
        <v>1193.7</v>
      </c>
      <c r="J97" s="383">
        <f t="shared" si="33"/>
        <v>16503.62</v>
      </c>
      <c r="K97" s="380">
        <v>12436.66</v>
      </c>
      <c r="L97" s="379">
        <v>4066.96</v>
      </c>
      <c r="M97" s="734">
        <f t="shared" si="34"/>
        <v>16503.62</v>
      </c>
      <c r="N97" s="338"/>
      <c r="O97" s="338"/>
      <c r="P97" s="338"/>
      <c r="Q97" s="343" t="str">
        <f t="shared" si="35"/>
        <v>2003</v>
      </c>
      <c r="R97" s="342">
        <f t="shared" si="36"/>
        <v>8200</v>
      </c>
      <c r="S97" s="341">
        <f t="shared" si="37"/>
        <v>13019</v>
      </c>
      <c r="T97" s="341">
        <f t="shared" si="38"/>
        <v>16503.62</v>
      </c>
      <c r="U97" s="391"/>
      <c r="V97" s="391"/>
      <c r="W97" s="391"/>
      <c r="X97" s="391"/>
      <c r="Y97" s="391"/>
      <c r="Z97" s="391"/>
      <c r="AA97" s="391"/>
      <c r="AB97" s="391"/>
      <c r="AC97" s="391"/>
      <c r="AD97" s="391"/>
      <c r="AE97" s="391"/>
    </row>
    <row r="98" spans="1:31" ht="17.399999999999999" hidden="1" customHeight="1" outlineLevel="1" x14ac:dyDescent="0.2">
      <c r="A98" s="888"/>
      <c r="B98" s="614" t="s">
        <v>20</v>
      </c>
      <c r="C98" s="389" t="s">
        <v>287</v>
      </c>
      <c r="D98" s="388">
        <f t="shared" si="32"/>
        <v>12500</v>
      </c>
      <c r="E98" s="384">
        <v>10249</v>
      </c>
      <c r="F98" s="392">
        <v>2251</v>
      </c>
      <c r="G98" s="383">
        <f t="shared" si="39"/>
        <v>8167</v>
      </c>
      <c r="H98" s="384">
        <v>5835.12</v>
      </c>
      <c r="I98" s="392">
        <v>2331.88</v>
      </c>
      <c r="J98" s="383">
        <f t="shared" si="33"/>
        <v>17773.849999999999</v>
      </c>
      <c r="K98" s="380">
        <v>15657.25</v>
      </c>
      <c r="L98" s="379">
        <v>2116.6</v>
      </c>
      <c r="M98" s="734">
        <f t="shared" si="34"/>
        <v>17773.849999999999</v>
      </c>
      <c r="N98" s="338"/>
      <c r="O98" s="338"/>
      <c r="P98" s="338"/>
      <c r="Q98" s="343" t="str">
        <f t="shared" si="35"/>
        <v>2004</v>
      </c>
      <c r="R98" s="342">
        <f t="shared" si="36"/>
        <v>12500</v>
      </c>
      <c r="S98" s="341">
        <f t="shared" si="37"/>
        <v>8167</v>
      </c>
      <c r="T98" s="341">
        <f t="shared" si="38"/>
        <v>17773.849999999999</v>
      </c>
      <c r="U98" s="391"/>
      <c r="V98" s="391"/>
      <c r="W98" s="391"/>
      <c r="X98" s="391"/>
      <c r="Y98" s="391"/>
      <c r="Z98" s="391"/>
      <c r="AA98" s="391"/>
      <c r="AB98" s="391"/>
      <c r="AC98" s="391"/>
      <c r="AD98" s="391"/>
      <c r="AE98" s="391"/>
    </row>
    <row r="99" spans="1:31" ht="17.399999999999999" hidden="1" customHeight="1" outlineLevel="1" x14ac:dyDescent="0.2">
      <c r="A99" s="888"/>
      <c r="B99" s="614" t="s">
        <v>20</v>
      </c>
      <c r="C99" s="389" t="s">
        <v>288</v>
      </c>
      <c r="D99" s="388">
        <f t="shared" si="32"/>
        <v>9900</v>
      </c>
      <c r="E99" s="384">
        <v>8670</v>
      </c>
      <c r="F99" s="392">
        <v>1230</v>
      </c>
      <c r="G99" s="383">
        <f t="shared" si="39"/>
        <v>13134</v>
      </c>
      <c r="H99" s="384">
        <v>11701.77</v>
      </c>
      <c r="I99" s="392">
        <v>1432.23</v>
      </c>
      <c r="J99" s="383">
        <f t="shared" si="33"/>
        <v>15470.640000000001</v>
      </c>
      <c r="K99" s="380">
        <v>12924.87</v>
      </c>
      <c r="L99" s="379">
        <v>2545.77</v>
      </c>
      <c r="M99" s="734"/>
      <c r="N99" s="338"/>
      <c r="O99" s="338"/>
      <c r="P99" s="338"/>
      <c r="Q99" s="343" t="str">
        <f t="shared" si="35"/>
        <v>2005</v>
      </c>
      <c r="R99" s="342">
        <f t="shared" si="36"/>
        <v>9900</v>
      </c>
      <c r="S99" s="341">
        <f t="shared" si="37"/>
        <v>13134</v>
      </c>
      <c r="T99" s="341">
        <f t="shared" si="38"/>
        <v>15470.640000000001</v>
      </c>
      <c r="U99" s="391"/>
      <c r="V99" s="391"/>
      <c r="W99" s="391"/>
      <c r="X99" s="391"/>
      <c r="Y99" s="391"/>
      <c r="Z99" s="391"/>
      <c r="AA99" s="391"/>
      <c r="AB99" s="391"/>
      <c r="AC99" s="391"/>
      <c r="AD99" s="391"/>
      <c r="AE99" s="391"/>
    </row>
    <row r="100" spans="1:31" ht="17.399999999999999" customHeight="1" collapsed="1" x14ac:dyDescent="0.2">
      <c r="A100" s="888"/>
      <c r="B100" s="614" t="s">
        <v>20</v>
      </c>
      <c r="C100" s="389" t="s">
        <v>289</v>
      </c>
      <c r="D100" s="824">
        <f t="shared" si="32"/>
        <v>9800</v>
      </c>
      <c r="E100" s="796">
        <v>8854</v>
      </c>
      <c r="F100" s="797">
        <v>946</v>
      </c>
      <c r="G100" s="827">
        <f t="shared" si="39"/>
        <v>16103</v>
      </c>
      <c r="H100" s="804">
        <v>14356.1</v>
      </c>
      <c r="I100" s="805">
        <v>1746.9</v>
      </c>
      <c r="J100" s="827">
        <f t="shared" si="33"/>
        <v>13787.470000000001</v>
      </c>
      <c r="K100" s="380">
        <v>12036.19</v>
      </c>
      <c r="L100" s="379">
        <v>1751.28</v>
      </c>
      <c r="M100" s="734"/>
      <c r="N100" s="338"/>
      <c r="O100" s="338"/>
      <c r="P100" s="338"/>
      <c r="Q100" s="343" t="str">
        <f t="shared" si="35"/>
        <v>2006</v>
      </c>
      <c r="R100" s="342">
        <f t="shared" si="36"/>
        <v>9800</v>
      </c>
      <c r="S100" s="341">
        <f t="shared" si="37"/>
        <v>16103</v>
      </c>
      <c r="T100" s="341">
        <f t="shared" si="38"/>
        <v>13787.470000000001</v>
      </c>
      <c r="U100" s="391"/>
      <c r="V100" s="391"/>
      <c r="W100" s="391"/>
      <c r="X100" s="391"/>
      <c r="Y100" s="391"/>
      <c r="Z100" s="391"/>
      <c r="AA100" s="391"/>
      <c r="AB100" s="391"/>
      <c r="AC100" s="391"/>
      <c r="AD100" s="391"/>
      <c r="AE100" s="391"/>
    </row>
    <row r="101" spans="1:31" ht="17.399999999999999" customHeight="1" x14ac:dyDescent="0.2">
      <c r="A101" s="888"/>
      <c r="B101" s="614" t="s">
        <v>20</v>
      </c>
      <c r="C101" s="389" t="s">
        <v>290</v>
      </c>
      <c r="D101" s="824">
        <f t="shared" si="32"/>
        <v>10400</v>
      </c>
      <c r="E101" s="796">
        <v>8189</v>
      </c>
      <c r="F101" s="797">
        <v>2211</v>
      </c>
      <c r="G101" s="827">
        <f t="shared" si="39"/>
        <v>10037</v>
      </c>
      <c r="H101" s="804">
        <v>8944</v>
      </c>
      <c r="I101" s="805">
        <v>1093</v>
      </c>
      <c r="J101" s="827">
        <f t="shared" si="33"/>
        <v>12583.640000000001</v>
      </c>
      <c r="K101" s="380">
        <v>10489.86</v>
      </c>
      <c r="L101" s="379">
        <v>2093.7800000000002</v>
      </c>
      <c r="M101" s="734"/>
      <c r="N101" s="338"/>
      <c r="O101" s="338"/>
      <c r="P101" s="338"/>
      <c r="Q101" s="343" t="str">
        <f t="shared" si="35"/>
        <v>2007</v>
      </c>
      <c r="R101" s="342">
        <f t="shared" si="36"/>
        <v>10400</v>
      </c>
      <c r="S101" s="341">
        <f t="shared" si="37"/>
        <v>10037</v>
      </c>
      <c r="T101" s="341">
        <f t="shared" si="38"/>
        <v>12583.640000000001</v>
      </c>
      <c r="U101" s="391"/>
      <c r="V101" s="391"/>
      <c r="W101" s="391"/>
      <c r="X101" s="391"/>
      <c r="Y101" s="391"/>
      <c r="Z101" s="391"/>
      <c r="AA101" s="391"/>
      <c r="AB101" s="391"/>
      <c r="AC101" s="391"/>
      <c r="AD101" s="391"/>
      <c r="AE101" s="391"/>
    </row>
    <row r="102" spans="1:31" ht="17.399999999999999" customHeight="1" x14ac:dyDescent="0.2">
      <c r="A102" s="888"/>
      <c r="B102" s="614" t="s">
        <v>20</v>
      </c>
      <c r="C102" s="389" t="s">
        <v>291</v>
      </c>
      <c r="D102" s="824">
        <f t="shared" si="32"/>
        <v>10700</v>
      </c>
      <c r="E102" s="796">
        <v>7231</v>
      </c>
      <c r="F102" s="797">
        <v>3469</v>
      </c>
      <c r="G102" s="827">
        <f t="shared" si="39"/>
        <v>11757</v>
      </c>
      <c r="H102" s="804">
        <v>8597</v>
      </c>
      <c r="I102" s="805">
        <v>3160</v>
      </c>
      <c r="J102" s="827">
        <f t="shared" si="33"/>
        <v>8893</v>
      </c>
      <c r="K102" s="380">
        <v>7481</v>
      </c>
      <c r="L102" s="379">
        <v>1412</v>
      </c>
      <c r="M102" s="734"/>
      <c r="N102" s="338"/>
      <c r="O102" s="338"/>
      <c r="P102" s="338"/>
      <c r="Q102" s="343" t="str">
        <f t="shared" si="35"/>
        <v>2008</v>
      </c>
      <c r="R102" s="342">
        <f t="shared" si="36"/>
        <v>10700</v>
      </c>
      <c r="S102" s="341">
        <f t="shared" si="37"/>
        <v>11757</v>
      </c>
      <c r="T102" s="341">
        <f t="shared" si="38"/>
        <v>8893</v>
      </c>
      <c r="U102" s="391"/>
      <c r="V102" s="391"/>
      <c r="W102" s="391"/>
      <c r="X102" s="391"/>
      <c r="Y102" s="391"/>
      <c r="Z102" s="391"/>
      <c r="AA102" s="391"/>
      <c r="AB102" s="391"/>
      <c r="AC102" s="391"/>
      <c r="AD102" s="391"/>
      <c r="AE102" s="391"/>
    </row>
    <row r="103" spans="1:31" ht="17.399999999999999" customHeight="1" x14ac:dyDescent="0.2">
      <c r="A103" s="888"/>
      <c r="B103" s="614" t="s">
        <v>20</v>
      </c>
      <c r="C103" s="389" t="s">
        <v>292</v>
      </c>
      <c r="D103" s="824">
        <f t="shared" si="32"/>
        <v>10800</v>
      </c>
      <c r="E103" s="796">
        <v>8512</v>
      </c>
      <c r="F103" s="797">
        <v>2288</v>
      </c>
      <c r="G103" s="827">
        <f t="shared" si="39"/>
        <v>13551</v>
      </c>
      <c r="H103" s="804">
        <v>10960.4</v>
      </c>
      <c r="I103" s="805">
        <v>2590.6</v>
      </c>
      <c r="J103" s="827">
        <f t="shared" si="33"/>
        <v>12704.189999999999</v>
      </c>
      <c r="K103" s="380">
        <v>10326.57</v>
      </c>
      <c r="L103" s="379">
        <v>2377.62</v>
      </c>
      <c r="M103" s="734"/>
      <c r="N103" s="338"/>
      <c r="O103" s="338"/>
      <c r="P103" s="338"/>
      <c r="Q103" s="343" t="str">
        <f t="shared" si="35"/>
        <v>2009</v>
      </c>
      <c r="R103" s="342">
        <f t="shared" si="36"/>
        <v>10800</v>
      </c>
      <c r="S103" s="341">
        <f t="shared" si="37"/>
        <v>13551</v>
      </c>
      <c r="T103" s="341">
        <f t="shared" si="38"/>
        <v>12704.189999999999</v>
      </c>
      <c r="U103" s="391"/>
      <c r="V103" s="391"/>
      <c r="W103" s="391"/>
      <c r="X103" s="391"/>
      <c r="Y103" s="391"/>
      <c r="Z103" s="391"/>
      <c r="AA103" s="391"/>
      <c r="AB103" s="391"/>
      <c r="AC103" s="391"/>
      <c r="AD103" s="391"/>
      <c r="AE103" s="391"/>
    </row>
    <row r="104" spans="1:31" ht="17.399999999999999" customHeight="1" x14ac:dyDescent="0.2">
      <c r="A104" s="888"/>
      <c r="B104" s="614" t="s">
        <v>20</v>
      </c>
      <c r="C104" s="389" t="s">
        <v>293</v>
      </c>
      <c r="D104" s="824">
        <f t="shared" si="32"/>
        <v>10100</v>
      </c>
      <c r="E104" s="796">
        <v>7544</v>
      </c>
      <c r="F104" s="797">
        <v>2556</v>
      </c>
      <c r="G104" s="827">
        <f t="shared" si="39"/>
        <v>9108</v>
      </c>
      <c r="H104" s="804">
        <v>7153.24</v>
      </c>
      <c r="I104" s="805">
        <v>1954.76</v>
      </c>
      <c r="J104" s="827">
        <f t="shared" si="33"/>
        <v>13703.68</v>
      </c>
      <c r="K104" s="380">
        <v>9706.68</v>
      </c>
      <c r="L104" s="379">
        <v>3997</v>
      </c>
      <c r="M104" s="734"/>
      <c r="N104" s="338"/>
      <c r="O104" s="338"/>
      <c r="P104" s="338"/>
      <c r="Q104" s="343" t="str">
        <f t="shared" si="35"/>
        <v>2010</v>
      </c>
      <c r="R104" s="342">
        <f t="shared" si="36"/>
        <v>10100</v>
      </c>
      <c r="S104" s="341">
        <f t="shared" si="37"/>
        <v>9108</v>
      </c>
      <c r="T104" s="341">
        <f t="shared" si="38"/>
        <v>13703.68</v>
      </c>
      <c r="U104" s="391"/>
      <c r="V104" s="391"/>
      <c r="W104" s="391"/>
      <c r="X104" s="391"/>
      <c r="Y104" s="391"/>
      <c r="Z104" s="391"/>
      <c r="AA104" s="391"/>
      <c r="AB104" s="391"/>
      <c r="AC104" s="391"/>
      <c r="AD104" s="391"/>
      <c r="AE104" s="391"/>
    </row>
    <row r="105" spans="1:31" ht="17.399999999999999" customHeight="1" x14ac:dyDescent="0.2">
      <c r="A105" s="888"/>
      <c r="B105" s="614" t="s">
        <v>20</v>
      </c>
      <c r="C105" s="427" t="s">
        <v>294</v>
      </c>
      <c r="D105" s="834">
        <f t="shared" si="32"/>
        <v>10300</v>
      </c>
      <c r="E105" s="798">
        <v>7775</v>
      </c>
      <c r="F105" s="799">
        <v>2525</v>
      </c>
      <c r="G105" s="835">
        <f t="shared" si="39"/>
        <v>8902</v>
      </c>
      <c r="H105" s="806">
        <v>6721</v>
      </c>
      <c r="I105" s="807">
        <v>2181</v>
      </c>
      <c r="J105" s="835">
        <f t="shared" si="33"/>
        <v>6222</v>
      </c>
      <c r="K105" s="413">
        <v>4803</v>
      </c>
      <c r="L105" s="390">
        <v>1419</v>
      </c>
      <c r="M105" s="734"/>
      <c r="N105" s="338"/>
      <c r="O105" s="338"/>
      <c r="P105" s="338"/>
      <c r="Q105" s="343" t="str">
        <f t="shared" si="35"/>
        <v>2011</v>
      </c>
      <c r="R105" s="342">
        <f t="shared" si="36"/>
        <v>10300</v>
      </c>
      <c r="S105" s="341">
        <f t="shared" si="37"/>
        <v>8902</v>
      </c>
      <c r="T105" s="341">
        <f t="shared" si="38"/>
        <v>6222</v>
      </c>
      <c r="U105" s="391"/>
      <c r="V105" s="391"/>
      <c r="W105" s="391"/>
      <c r="X105" s="391"/>
      <c r="Y105" s="391"/>
      <c r="Z105" s="391"/>
      <c r="AA105" s="391"/>
      <c r="AB105" s="391"/>
      <c r="AC105" s="391"/>
      <c r="AD105" s="391"/>
      <c r="AE105" s="391"/>
    </row>
    <row r="106" spans="1:31" ht="17.399999999999999" customHeight="1" x14ac:dyDescent="0.2">
      <c r="A106" s="888"/>
      <c r="B106" s="614" t="s">
        <v>20</v>
      </c>
      <c r="C106" s="423" t="s">
        <v>295</v>
      </c>
      <c r="D106" s="834">
        <f t="shared" si="32"/>
        <v>10500</v>
      </c>
      <c r="E106" s="798">
        <v>9250</v>
      </c>
      <c r="F106" s="799">
        <v>1250</v>
      </c>
      <c r="G106" s="835">
        <f t="shared" si="39"/>
        <v>10318</v>
      </c>
      <c r="H106" s="806">
        <v>8995.7000000000007</v>
      </c>
      <c r="I106" s="807">
        <v>1322.3</v>
      </c>
      <c r="J106" s="835">
        <f t="shared" si="33"/>
        <v>18993.75</v>
      </c>
      <c r="K106" s="413">
        <v>17321.14</v>
      </c>
      <c r="L106" s="390">
        <v>1672.61</v>
      </c>
      <c r="M106" s="734"/>
      <c r="N106" s="338"/>
      <c r="O106" s="338"/>
      <c r="P106" s="338"/>
      <c r="Q106" s="343" t="str">
        <f t="shared" si="35"/>
        <v>2012</v>
      </c>
      <c r="R106" s="342">
        <f t="shared" si="36"/>
        <v>10500</v>
      </c>
      <c r="S106" s="341">
        <f t="shared" si="37"/>
        <v>10318</v>
      </c>
      <c r="T106" s="341">
        <f t="shared" si="38"/>
        <v>18993.75</v>
      </c>
      <c r="U106" s="391"/>
      <c r="V106" s="391"/>
      <c r="W106" s="391"/>
      <c r="X106" s="391"/>
      <c r="Y106" s="391"/>
      <c r="Z106" s="391"/>
      <c r="AA106" s="391"/>
      <c r="AB106" s="391"/>
      <c r="AC106" s="391"/>
      <c r="AD106" s="391"/>
      <c r="AE106" s="391"/>
    </row>
    <row r="107" spans="1:31" ht="17.399999999999999" customHeight="1" x14ac:dyDescent="0.2">
      <c r="A107" s="888"/>
      <c r="B107" s="614" t="s">
        <v>20</v>
      </c>
      <c r="C107" s="423" t="s">
        <v>296</v>
      </c>
      <c r="D107" s="834">
        <f t="shared" si="32"/>
        <v>10025</v>
      </c>
      <c r="E107" s="798">
        <v>9783</v>
      </c>
      <c r="F107" s="799">
        <v>242</v>
      </c>
      <c r="G107" s="835">
        <f t="shared" si="39"/>
        <v>8702.9800000000014</v>
      </c>
      <c r="H107" s="806">
        <v>8593.2000000000007</v>
      </c>
      <c r="I107" s="807">
        <v>109.78</v>
      </c>
      <c r="J107" s="835">
        <f t="shared" si="33"/>
        <v>12464.95</v>
      </c>
      <c r="K107" s="413">
        <v>11231.11</v>
      </c>
      <c r="L107" s="390">
        <v>1233.8399999999999</v>
      </c>
      <c r="M107" s="734"/>
      <c r="N107" s="338"/>
      <c r="O107" s="338"/>
      <c r="P107" s="338"/>
      <c r="Q107" s="343" t="str">
        <f t="shared" si="35"/>
        <v>2013</v>
      </c>
      <c r="R107" s="342">
        <f t="shared" si="36"/>
        <v>10025</v>
      </c>
      <c r="S107" s="341">
        <f t="shared" si="37"/>
        <v>8702.9800000000014</v>
      </c>
      <c r="T107" s="341">
        <f t="shared" si="38"/>
        <v>12464.95</v>
      </c>
      <c r="U107" s="391"/>
      <c r="V107" s="391"/>
      <c r="W107" s="391"/>
      <c r="X107" s="391"/>
      <c r="Y107" s="391"/>
      <c r="Z107" s="391"/>
      <c r="AA107" s="391"/>
      <c r="AB107" s="391"/>
      <c r="AC107" s="391"/>
      <c r="AD107" s="391"/>
      <c r="AE107" s="391"/>
    </row>
    <row r="108" spans="1:31" ht="17.399999999999999" customHeight="1" x14ac:dyDescent="0.2">
      <c r="A108" s="888"/>
      <c r="B108" s="614" t="s">
        <v>20</v>
      </c>
      <c r="C108" s="423" t="s">
        <v>297</v>
      </c>
      <c r="D108" s="834">
        <f t="shared" si="32"/>
        <v>9114</v>
      </c>
      <c r="E108" s="798">
        <v>7816.1</v>
      </c>
      <c r="F108" s="799">
        <v>1297.9000000000001</v>
      </c>
      <c r="G108" s="835">
        <f t="shared" si="39"/>
        <v>6871</v>
      </c>
      <c r="H108" s="806">
        <v>6410.1689999999999</v>
      </c>
      <c r="I108" s="807">
        <v>460.83100000000002</v>
      </c>
      <c r="J108" s="835">
        <f t="shared" si="33"/>
        <v>4510.33</v>
      </c>
      <c r="K108" s="413">
        <v>3536.28</v>
      </c>
      <c r="L108" s="390">
        <v>974.05</v>
      </c>
      <c r="M108" s="734"/>
      <c r="N108" s="338"/>
      <c r="O108" s="338"/>
      <c r="P108" s="338"/>
      <c r="Q108" s="343" t="str">
        <f t="shared" si="35"/>
        <v>2014</v>
      </c>
      <c r="R108" s="342">
        <f t="shared" si="36"/>
        <v>9114</v>
      </c>
      <c r="S108" s="341">
        <f t="shared" si="37"/>
        <v>6871</v>
      </c>
      <c r="T108" s="341">
        <f t="shared" si="38"/>
        <v>4510.33</v>
      </c>
      <c r="U108" s="391"/>
      <c r="V108" s="391"/>
      <c r="W108" s="391"/>
      <c r="X108" s="391"/>
      <c r="Y108" s="391"/>
      <c r="Z108" s="391"/>
      <c r="AA108" s="391"/>
      <c r="AB108" s="391"/>
      <c r="AC108" s="391"/>
      <c r="AD108" s="391"/>
      <c r="AE108" s="391"/>
    </row>
    <row r="109" spans="1:31" ht="17.399999999999999" customHeight="1" x14ac:dyDescent="0.2">
      <c r="A109" s="888"/>
      <c r="B109" s="614" t="s">
        <v>20</v>
      </c>
      <c r="C109" s="423" t="s">
        <v>298</v>
      </c>
      <c r="D109" s="830">
        <f t="shared" si="32"/>
        <v>13200</v>
      </c>
      <c r="E109" s="800">
        <v>9823</v>
      </c>
      <c r="F109" s="801">
        <v>3377</v>
      </c>
      <c r="G109" s="831">
        <f t="shared" si="39"/>
        <v>14424</v>
      </c>
      <c r="H109" s="808">
        <v>11692.296</v>
      </c>
      <c r="I109" s="809">
        <v>2731.7040000000002</v>
      </c>
      <c r="J109" s="831">
        <f t="shared" si="33"/>
        <v>12974.689999999999</v>
      </c>
      <c r="K109" s="420">
        <v>11992.56</v>
      </c>
      <c r="L109" s="419">
        <v>982.13</v>
      </c>
      <c r="M109" s="735"/>
      <c r="N109" s="338"/>
      <c r="O109" s="338"/>
      <c r="P109" s="338"/>
      <c r="Q109" s="343" t="str">
        <f t="shared" si="35"/>
        <v>2015</v>
      </c>
      <c r="R109" s="342">
        <f t="shared" si="36"/>
        <v>13200</v>
      </c>
      <c r="S109" s="341">
        <f t="shared" si="37"/>
        <v>14424</v>
      </c>
      <c r="T109" s="341">
        <f t="shared" si="38"/>
        <v>12974.689999999999</v>
      </c>
      <c r="U109" s="350"/>
      <c r="V109" s="350"/>
      <c r="W109" s="350"/>
      <c r="X109" s="350"/>
      <c r="Y109" s="350"/>
      <c r="Z109" s="350"/>
      <c r="AA109" s="350"/>
      <c r="AB109" s="350"/>
      <c r="AC109" s="350"/>
      <c r="AD109" s="350"/>
      <c r="AE109" s="350"/>
    </row>
    <row r="110" spans="1:31" ht="17.399999999999999" customHeight="1" thickBot="1" x14ac:dyDescent="0.25">
      <c r="A110" s="889"/>
      <c r="B110" s="614" t="s">
        <v>20</v>
      </c>
      <c r="C110" s="423" t="s">
        <v>438</v>
      </c>
      <c r="D110" s="832">
        <f t="shared" si="32"/>
        <v>13200</v>
      </c>
      <c r="E110" s="812">
        <v>10927</v>
      </c>
      <c r="F110" s="813">
        <v>2273</v>
      </c>
      <c r="G110" s="833">
        <f t="shared" si="39"/>
        <v>0</v>
      </c>
      <c r="H110" s="814"/>
      <c r="I110" s="815"/>
      <c r="J110" s="833">
        <f t="shared" si="33"/>
        <v>0</v>
      </c>
      <c r="K110" s="418"/>
      <c r="L110" s="417"/>
      <c r="M110" s="735"/>
      <c r="N110" s="338"/>
      <c r="O110" s="338"/>
      <c r="P110" s="338"/>
      <c r="Q110" s="343" t="str">
        <f t="shared" si="35"/>
        <v>2016</v>
      </c>
      <c r="R110" s="342">
        <f t="shared" si="36"/>
        <v>13200</v>
      </c>
      <c r="S110" s="341">
        <f t="shared" si="37"/>
        <v>0</v>
      </c>
      <c r="T110" s="341">
        <f t="shared" si="38"/>
        <v>0</v>
      </c>
      <c r="U110" s="350"/>
      <c r="V110" s="350"/>
      <c r="W110" s="350"/>
      <c r="X110" s="350"/>
      <c r="Y110" s="350"/>
      <c r="Z110" s="350"/>
      <c r="AA110" s="350"/>
      <c r="AB110" s="350"/>
      <c r="AC110" s="350"/>
      <c r="AD110" s="350"/>
      <c r="AE110" s="350"/>
    </row>
    <row r="111" spans="1:31" ht="66.75" customHeight="1" thickBot="1" x14ac:dyDescent="0.25">
      <c r="A111" s="887" t="s">
        <v>397</v>
      </c>
      <c r="B111" s="609" t="s">
        <v>204</v>
      </c>
      <c r="C111" s="412" t="s">
        <v>384</v>
      </c>
      <c r="D111" s="411" t="s">
        <v>383</v>
      </c>
      <c r="E111" s="410" t="s">
        <v>390</v>
      </c>
      <c r="F111" s="409" t="s">
        <v>389</v>
      </c>
      <c r="G111" s="838" t="s">
        <v>382</v>
      </c>
      <c r="H111" s="839" t="s">
        <v>388</v>
      </c>
      <c r="I111" s="840" t="s">
        <v>387</v>
      </c>
      <c r="J111" s="408" t="s">
        <v>381</v>
      </c>
      <c r="K111" s="407" t="s">
        <v>393</v>
      </c>
      <c r="L111" s="406" t="s">
        <v>392</v>
      </c>
      <c r="Q111" s="349" t="s">
        <v>384</v>
      </c>
      <c r="R111" s="348" t="s">
        <v>383</v>
      </c>
      <c r="S111" s="347" t="s">
        <v>382</v>
      </c>
      <c r="T111" s="346" t="s">
        <v>381</v>
      </c>
    </row>
    <row r="112" spans="1:31" ht="15.75" hidden="1" customHeight="1" outlineLevel="1" x14ac:dyDescent="0.2">
      <c r="A112" s="888"/>
      <c r="B112" s="614" t="s">
        <v>21</v>
      </c>
      <c r="C112" s="435" t="s">
        <v>434</v>
      </c>
      <c r="D112" s="405">
        <f t="shared" ref="D112:D132" si="40">SUM(E112+F112)</f>
        <v>3300</v>
      </c>
      <c r="E112" s="404">
        <v>3300</v>
      </c>
      <c r="F112" s="403">
        <v>0</v>
      </c>
      <c r="G112" s="402">
        <f t="shared" ref="G112:G132" si="41">SUM(H112+I112)</f>
        <v>3170</v>
      </c>
      <c r="H112" s="401">
        <v>3170</v>
      </c>
      <c r="I112" s="400">
        <v>0</v>
      </c>
      <c r="J112" s="402">
        <f t="shared" ref="J112:J132" si="42">SUM(K112:L112)</f>
        <v>836.01</v>
      </c>
      <c r="K112" s="401">
        <v>836.01</v>
      </c>
      <c r="L112" s="400">
        <v>0</v>
      </c>
      <c r="M112" s="734">
        <f t="shared" ref="M112:M120" si="43">SUM(K112:L112)</f>
        <v>836.01</v>
      </c>
      <c r="N112" s="338"/>
      <c r="O112" s="338"/>
      <c r="P112" s="338"/>
      <c r="Q112" s="345" t="str">
        <f t="shared" ref="Q112:Q132" si="44">+C112</f>
        <v>1996</v>
      </c>
      <c r="R112" s="342">
        <f t="shared" ref="R112:R132" si="45">+D112</f>
        <v>3300</v>
      </c>
      <c r="S112" s="341">
        <f t="shared" ref="S112:S132" si="46">+G112</f>
        <v>3170</v>
      </c>
      <c r="T112" s="341">
        <f t="shared" ref="T112:T132" si="47">+J112</f>
        <v>836.01</v>
      </c>
      <c r="U112" s="391"/>
      <c r="V112" s="391"/>
      <c r="W112" s="391"/>
      <c r="X112" s="391"/>
      <c r="Y112" s="391"/>
      <c r="Z112" s="391"/>
      <c r="AA112" s="391"/>
      <c r="AB112" s="391"/>
      <c r="AC112" s="391"/>
      <c r="AD112" s="391"/>
      <c r="AE112" s="391"/>
    </row>
    <row r="113" spans="1:31" ht="15.75" hidden="1" customHeight="1" outlineLevel="1" x14ac:dyDescent="0.2">
      <c r="A113" s="888"/>
      <c r="B113" s="614" t="s">
        <v>21</v>
      </c>
      <c r="C113" s="399" t="s">
        <v>435</v>
      </c>
      <c r="D113" s="398">
        <f t="shared" si="40"/>
        <v>4200</v>
      </c>
      <c r="E113" s="397">
        <v>4200</v>
      </c>
      <c r="F113" s="396">
        <v>0</v>
      </c>
      <c r="G113" s="395">
        <f t="shared" si="41"/>
        <v>5825</v>
      </c>
      <c r="H113" s="394">
        <v>5825</v>
      </c>
      <c r="I113" s="393">
        <v>0</v>
      </c>
      <c r="J113" s="395">
        <f t="shared" si="42"/>
        <v>854</v>
      </c>
      <c r="K113" s="394">
        <v>854</v>
      </c>
      <c r="L113" s="393">
        <v>0</v>
      </c>
      <c r="M113" s="734">
        <f t="shared" si="43"/>
        <v>854</v>
      </c>
      <c r="N113" s="338"/>
      <c r="O113" s="338"/>
      <c r="P113" s="338"/>
      <c r="Q113" s="345" t="str">
        <f t="shared" si="44"/>
        <v>1997</v>
      </c>
      <c r="R113" s="342">
        <f t="shared" si="45"/>
        <v>4200</v>
      </c>
      <c r="S113" s="341">
        <f t="shared" si="46"/>
        <v>5825</v>
      </c>
      <c r="T113" s="341">
        <f t="shared" si="47"/>
        <v>854</v>
      </c>
      <c r="U113" s="391"/>
      <c r="V113" s="391"/>
      <c r="W113" s="391"/>
      <c r="X113" s="391"/>
      <c r="Y113" s="391"/>
      <c r="Z113" s="391"/>
      <c r="AA113" s="391"/>
      <c r="AB113" s="391"/>
      <c r="AC113" s="391"/>
      <c r="AD113" s="391"/>
      <c r="AE113" s="391"/>
    </row>
    <row r="114" spans="1:31" ht="15.75" hidden="1" customHeight="1" outlineLevel="1" x14ac:dyDescent="0.2">
      <c r="A114" s="888"/>
      <c r="B114" s="614" t="s">
        <v>21</v>
      </c>
      <c r="C114" s="399" t="s">
        <v>436</v>
      </c>
      <c r="D114" s="398">
        <f t="shared" si="40"/>
        <v>0</v>
      </c>
      <c r="E114" s="397">
        <v>0</v>
      </c>
      <c r="F114" s="396">
        <v>0</v>
      </c>
      <c r="G114" s="395">
        <f t="shared" si="41"/>
        <v>0</v>
      </c>
      <c r="H114" s="394">
        <v>0</v>
      </c>
      <c r="I114" s="393">
        <v>0</v>
      </c>
      <c r="J114" s="395">
        <f t="shared" si="42"/>
        <v>2162.12</v>
      </c>
      <c r="K114" s="394">
        <v>2162.12</v>
      </c>
      <c r="L114" s="393">
        <v>0</v>
      </c>
      <c r="M114" s="734">
        <f t="shared" si="43"/>
        <v>2162.12</v>
      </c>
      <c r="N114" s="338"/>
      <c r="O114" s="338"/>
      <c r="P114" s="338"/>
      <c r="Q114" s="345" t="str">
        <f t="shared" si="44"/>
        <v>1998</v>
      </c>
      <c r="R114" s="342">
        <f t="shared" si="45"/>
        <v>0</v>
      </c>
      <c r="S114" s="341">
        <f t="shared" si="46"/>
        <v>0</v>
      </c>
      <c r="T114" s="341">
        <f t="shared" si="47"/>
        <v>2162.12</v>
      </c>
      <c r="U114" s="391"/>
      <c r="V114" s="391"/>
      <c r="W114" s="391"/>
      <c r="X114" s="391"/>
      <c r="Y114" s="391"/>
      <c r="Z114" s="391"/>
      <c r="AA114" s="391"/>
      <c r="AB114" s="391"/>
      <c r="AC114" s="391"/>
      <c r="AD114" s="391"/>
      <c r="AE114" s="391"/>
    </row>
    <row r="115" spans="1:31" ht="15.75" hidden="1" customHeight="1" outlineLevel="1" x14ac:dyDescent="0.2">
      <c r="A115" s="888"/>
      <c r="B115" s="614" t="s">
        <v>21</v>
      </c>
      <c r="C115" s="389" t="s">
        <v>437</v>
      </c>
      <c r="D115" s="388">
        <f t="shared" si="40"/>
        <v>13460</v>
      </c>
      <c r="E115" s="386">
        <v>10200</v>
      </c>
      <c r="F115" s="381">
        <v>3260</v>
      </c>
      <c r="G115" s="383">
        <f t="shared" si="41"/>
        <v>9245</v>
      </c>
      <c r="H115" s="384">
        <v>5974</v>
      </c>
      <c r="I115" s="392">
        <v>3271</v>
      </c>
      <c r="J115" s="383">
        <f t="shared" si="42"/>
        <v>8836.44</v>
      </c>
      <c r="K115" s="384">
        <v>8836.44</v>
      </c>
      <c r="L115" s="392">
        <v>0</v>
      </c>
      <c r="M115" s="734">
        <f t="shared" si="43"/>
        <v>8836.44</v>
      </c>
      <c r="N115" s="338"/>
      <c r="O115" s="338"/>
      <c r="P115" s="338"/>
      <c r="Q115" s="345" t="str">
        <f t="shared" si="44"/>
        <v>1999</v>
      </c>
      <c r="R115" s="342">
        <f t="shared" si="45"/>
        <v>13460</v>
      </c>
      <c r="S115" s="341">
        <f t="shared" si="46"/>
        <v>9245</v>
      </c>
      <c r="T115" s="341">
        <f t="shared" si="47"/>
        <v>8836.44</v>
      </c>
      <c r="U115" s="391"/>
      <c r="V115" s="391"/>
      <c r="W115" s="391"/>
      <c r="X115" s="391"/>
      <c r="Y115" s="391"/>
      <c r="Z115" s="391"/>
      <c r="AA115" s="391"/>
      <c r="AB115" s="391"/>
      <c r="AC115" s="391"/>
      <c r="AD115" s="391"/>
      <c r="AE115" s="391"/>
    </row>
    <row r="116" spans="1:31" ht="17.399999999999999" hidden="1" customHeight="1" outlineLevel="1" x14ac:dyDescent="0.2">
      <c r="A116" s="888"/>
      <c r="B116" s="614" t="s">
        <v>21</v>
      </c>
      <c r="C116" s="428" t="s">
        <v>283</v>
      </c>
      <c r="D116" s="388">
        <f t="shared" si="40"/>
        <v>4000</v>
      </c>
      <c r="E116" s="384">
        <v>0</v>
      </c>
      <c r="F116" s="392">
        <v>4000</v>
      </c>
      <c r="G116" s="383">
        <f t="shared" si="41"/>
        <v>3702</v>
      </c>
      <c r="H116" s="384">
        <v>3702</v>
      </c>
      <c r="I116" s="392">
        <v>0</v>
      </c>
      <c r="J116" s="383">
        <f t="shared" si="42"/>
        <v>7101.26</v>
      </c>
      <c r="K116" s="380">
        <v>4324.09</v>
      </c>
      <c r="L116" s="379">
        <v>2777.17</v>
      </c>
      <c r="M116" s="734">
        <f t="shared" si="43"/>
        <v>7101.26</v>
      </c>
      <c r="N116" s="338"/>
      <c r="O116" s="338"/>
      <c r="P116" s="338"/>
      <c r="Q116" s="345" t="str">
        <f t="shared" si="44"/>
        <v>2000</v>
      </c>
      <c r="R116" s="342">
        <f t="shared" si="45"/>
        <v>4000</v>
      </c>
      <c r="S116" s="341">
        <f t="shared" si="46"/>
        <v>3702</v>
      </c>
      <c r="T116" s="341">
        <f t="shared" si="47"/>
        <v>7101.26</v>
      </c>
      <c r="U116" s="391"/>
      <c r="V116" s="391"/>
      <c r="W116" s="391"/>
      <c r="X116" s="391"/>
      <c r="Y116" s="391"/>
      <c r="Z116" s="391"/>
      <c r="AA116" s="391"/>
      <c r="AB116" s="391"/>
      <c r="AC116" s="391"/>
      <c r="AD116" s="391"/>
      <c r="AE116" s="391"/>
    </row>
    <row r="117" spans="1:31" ht="17.399999999999999" hidden="1" customHeight="1" outlineLevel="1" x14ac:dyDescent="0.2">
      <c r="A117" s="888"/>
      <c r="B117" s="614" t="s">
        <v>21</v>
      </c>
      <c r="C117" s="389" t="s">
        <v>284</v>
      </c>
      <c r="D117" s="388">
        <f t="shared" si="40"/>
        <v>7184</v>
      </c>
      <c r="E117" s="384">
        <v>7184</v>
      </c>
      <c r="F117" s="392">
        <v>0</v>
      </c>
      <c r="G117" s="383">
        <f t="shared" si="41"/>
        <v>5820</v>
      </c>
      <c r="H117" s="384">
        <v>2359</v>
      </c>
      <c r="I117" s="392">
        <v>3461</v>
      </c>
      <c r="J117" s="383">
        <f t="shared" si="42"/>
        <v>5844.52</v>
      </c>
      <c r="K117" s="380">
        <v>3245.5</v>
      </c>
      <c r="L117" s="379">
        <v>2599.02</v>
      </c>
      <c r="M117" s="734">
        <f t="shared" si="43"/>
        <v>5844.52</v>
      </c>
      <c r="N117" s="338"/>
      <c r="O117" s="338"/>
      <c r="P117" s="338"/>
      <c r="Q117" s="343" t="str">
        <f t="shared" si="44"/>
        <v>2001</v>
      </c>
      <c r="R117" s="342">
        <f t="shared" si="45"/>
        <v>7184</v>
      </c>
      <c r="S117" s="341">
        <f t="shared" si="46"/>
        <v>5820</v>
      </c>
      <c r="T117" s="341">
        <f t="shared" si="47"/>
        <v>5844.52</v>
      </c>
      <c r="U117" s="391"/>
      <c r="V117" s="391"/>
      <c r="W117" s="391"/>
      <c r="X117" s="391"/>
      <c r="Y117" s="391"/>
      <c r="Z117" s="391"/>
      <c r="AA117" s="391"/>
      <c r="AB117" s="391"/>
      <c r="AC117" s="391"/>
      <c r="AD117" s="391"/>
      <c r="AE117" s="391"/>
    </row>
    <row r="118" spans="1:31" ht="17.399999999999999" hidden="1" customHeight="1" outlineLevel="1" x14ac:dyDescent="0.2">
      <c r="A118" s="888"/>
      <c r="B118" s="614" t="s">
        <v>21</v>
      </c>
      <c r="C118" s="389" t="s">
        <v>285</v>
      </c>
      <c r="D118" s="388">
        <f t="shared" si="40"/>
        <v>4300</v>
      </c>
      <c r="E118" s="384">
        <v>4300</v>
      </c>
      <c r="F118" s="392">
        <v>0</v>
      </c>
      <c r="G118" s="383">
        <f t="shared" si="41"/>
        <v>10458</v>
      </c>
      <c r="H118" s="384">
        <v>10458</v>
      </c>
      <c r="I118" s="392">
        <v>0</v>
      </c>
      <c r="J118" s="383">
        <f t="shared" si="42"/>
        <v>4805.5200000000004</v>
      </c>
      <c r="K118" s="380">
        <v>4331.18</v>
      </c>
      <c r="L118" s="379">
        <v>474.34</v>
      </c>
      <c r="M118" s="734">
        <f t="shared" si="43"/>
        <v>4805.5200000000004</v>
      </c>
      <c r="N118" s="338"/>
      <c r="O118" s="338"/>
      <c r="P118" s="338"/>
      <c r="Q118" s="343" t="str">
        <f t="shared" si="44"/>
        <v>2002</v>
      </c>
      <c r="R118" s="342">
        <f t="shared" si="45"/>
        <v>4300</v>
      </c>
      <c r="S118" s="341">
        <f t="shared" si="46"/>
        <v>10458</v>
      </c>
      <c r="T118" s="341">
        <f t="shared" si="47"/>
        <v>4805.5200000000004</v>
      </c>
      <c r="U118" s="391"/>
      <c r="V118" s="391"/>
      <c r="W118" s="391"/>
      <c r="X118" s="391"/>
      <c r="Y118" s="391"/>
      <c r="Z118" s="391"/>
      <c r="AA118" s="391"/>
      <c r="AB118" s="391"/>
      <c r="AC118" s="391"/>
      <c r="AD118" s="391"/>
      <c r="AE118" s="391"/>
    </row>
    <row r="119" spans="1:31" ht="17.399999999999999" hidden="1" customHeight="1" outlineLevel="1" x14ac:dyDescent="0.2">
      <c r="A119" s="888"/>
      <c r="B119" s="614" t="s">
        <v>21</v>
      </c>
      <c r="C119" s="389" t="s">
        <v>286</v>
      </c>
      <c r="D119" s="388">
        <f t="shared" si="40"/>
        <v>6900</v>
      </c>
      <c r="E119" s="384">
        <v>6900</v>
      </c>
      <c r="F119" s="392">
        <v>0</v>
      </c>
      <c r="G119" s="383">
        <f t="shared" si="41"/>
        <v>5880</v>
      </c>
      <c r="H119" s="384">
        <v>5880</v>
      </c>
      <c r="I119" s="392">
        <v>0</v>
      </c>
      <c r="J119" s="383">
        <f t="shared" si="42"/>
        <v>9761.0300000000007</v>
      </c>
      <c r="K119" s="380">
        <v>9312.74</v>
      </c>
      <c r="L119" s="379">
        <v>448.29</v>
      </c>
      <c r="M119" s="734">
        <f t="shared" si="43"/>
        <v>9761.0300000000007</v>
      </c>
      <c r="N119" s="338"/>
      <c r="O119" s="338"/>
      <c r="P119" s="338"/>
      <c r="Q119" s="343" t="str">
        <f t="shared" si="44"/>
        <v>2003</v>
      </c>
      <c r="R119" s="342">
        <f t="shared" si="45"/>
        <v>6900</v>
      </c>
      <c r="S119" s="341">
        <f t="shared" si="46"/>
        <v>5880</v>
      </c>
      <c r="T119" s="341">
        <f t="shared" si="47"/>
        <v>9761.0300000000007</v>
      </c>
      <c r="U119" s="391"/>
      <c r="V119" s="391"/>
      <c r="W119" s="391"/>
      <c r="X119" s="391"/>
      <c r="Y119" s="391"/>
      <c r="Z119" s="391"/>
      <c r="AA119" s="391"/>
      <c r="AB119" s="391"/>
      <c r="AC119" s="391"/>
      <c r="AD119" s="391"/>
      <c r="AE119" s="391"/>
    </row>
    <row r="120" spans="1:31" ht="17.399999999999999" hidden="1" customHeight="1" outlineLevel="1" x14ac:dyDescent="0.2">
      <c r="A120" s="888"/>
      <c r="B120" s="614" t="s">
        <v>21</v>
      </c>
      <c r="C120" s="389" t="s">
        <v>287</v>
      </c>
      <c r="D120" s="388">
        <f t="shared" si="40"/>
        <v>5348</v>
      </c>
      <c r="E120" s="384">
        <v>5348</v>
      </c>
      <c r="F120" s="392">
        <v>0</v>
      </c>
      <c r="G120" s="383">
        <f t="shared" si="41"/>
        <v>6844</v>
      </c>
      <c r="H120" s="384">
        <v>6844</v>
      </c>
      <c r="I120" s="392">
        <v>0</v>
      </c>
      <c r="J120" s="383">
        <f t="shared" si="42"/>
        <v>3935.32</v>
      </c>
      <c r="K120" s="380">
        <v>3935.32</v>
      </c>
      <c r="L120" s="379">
        <v>0</v>
      </c>
      <c r="M120" s="734">
        <f t="shared" si="43"/>
        <v>3935.32</v>
      </c>
      <c r="N120" s="338"/>
      <c r="O120" s="338"/>
      <c r="P120" s="338"/>
      <c r="Q120" s="343" t="str">
        <f t="shared" si="44"/>
        <v>2004</v>
      </c>
      <c r="R120" s="342">
        <f t="shared" si="45"/>
        <v>5348</v>
      </c>
      <c r="S120" s="341">
        <f t="shared" si="46"/>
        <v>6844</v>
      </c>
      <c r="T120" s="341">
        <f t="shared" si="47"/>
        <v>3935.32</v>
      </c>
      <c r="U120" s="391"/>
      <c r="V120" s="391"/>
      <c r="W120" s="391"/>
      <c r="X120" s="391"/>
      <c r="Y120" s="391"/>
      <c r="Z120" s="391"/>
      <c r="AA120" s="391"/>
      <c r="AB120" s="391"/>
      <c r="AC120" s="391"/>
      <c r="AD120" s="391"/>
      <c r="AE120" s="391"/>
    </row>
    <row r="121" spans="1:31" ht="17.399999999999999" hidden="1" customHeight="1" outlineLevel="1" x14ac:dyDescent="0.2">
      <c r="A121" s="888"/>
      <c r="B121" s="614" t="s">
        <v>21</v>
      </c>
      <c r="C121" s="389" t="s">
        <v>288</v>
      </c>
      <c r="D121" s="388">
        <f t="shared" si="40"/>
        <v>6670</v>
      </c>
      <c r="E121" s="384">
        <v>6670</v>
      </c>
      <c r="F121" s="392">
        <v>0</v>
      </c>
      <c r="G121" s="383">
        <f t="shared" si="41"/>
        <v>7189</v>
      </c>
      <c r="H121" s="384">
        <v>7189</v>
      </c>
      <c r="I121" s="392">
        <v>0</v>
      </c>
      <c r="J121" s="383">
        <f t="shared" si="42"/>
        <v>12247.03</v>
      </c>
      <c r="K121" s="380">
        <v>12247.03</v>
      </c>
      <c r="L121" s="379">
        <v>0</v>
      </c>
      <c r="M121" s="734"/>
      <c r="N121" s="338"/>
      <c r="O121" s="338"/>
      <c r="P121" s="338"/>
      <c r="Q121" s="343" t="str">
        <f t="shared" si="44"/>
        <v>2005</v>
      </c>
      <c r="R121" s="342">
        <f t="shared" si="45"/>
        <v>6670</v>
      </c>
      <c r="S121" s="341">
        <f t="shared" si="46"/>
        <v>7189</v>
      </c>
      <c r="T121" s="341">
        <f t="shared" si="47"/>
        <v>12247.03</v>
      </c>
      <c r="U121" s="391"/>
      <c r="V121" s="391"/>
      <c r="W121" s="391"/>
      <c r="X121" s="391"/>
      <c r="Y121" s="391"/>
      <c r="Z121" s="391"/>
      <c r="AA121" s="391"/>
      <c r="AB121" s="391"/>
      <c r="AC121" s="391"/>
      <c r="AD121" s="391"/>
      <c r="AE121" s="391"/>
    </row>
    <row r="122" spans="1:31" ht="17.399999999999999" customHeight="1" collapsed="1" x14ac:dyDescent="0.2">
      <c r="A122" s="888"/>
      <c r="B122" s="614" t="s">
        <v>21</v>
      </c>
      <c r="C122" s="389" t="s">
        <v>289</v>
      </c>
      <c r="D122" s="824">
        <f t="shared" si="40"/>
        <v>10630</v>
      </c>
      <c r="E122" s="796">
        <v>5130</v>
      </c>
      <c r="F122" s="797">
        <v>5500</v>
      </c>
      <c r="G122" s="827">
        <f t="shared" si="41"/>
        <v>7036</v>
      </c>
      <c r="H122" s="804">
        <v>7036</v>
      </c>
      <c r="I122" s="805">
        <v>0</v>
      </c>
      <c r="J122" s="827">
        <f t="shared" si="42"/>
        <v>7415.76</v>
      </c>
      <c r="K122" s="380">
        <v>7415.76</v>
      </c>
      <c r="L122" s="379">
        <v>0</v>
      </c>
      <c r="M122" s="734"/>
      <c r="N122" s="338"/>
      <c r="O122" s="338"/>
      <c r="P122" s="338"/>
      <c r="Q122" s="343" t="str">
        <f t="shared" si="44"/>
        <v>2006</v>
      </c>
      <c r="R122" s="342">
        <f t="shared" si="45"/>
        <v>10630</v>
      </c>
      <c r="S122" s="341">
        <f t="shared" si="46"/>
        <v>7036</v>
      </c>
      <c r="T122" s="341">
        <f t="shared" si="47"/>
        <v>7415.76</v>
      </c>
      <c r="U122" s="391"/>
      <c r="V122" s="391"/>
      <c r="W122" s="391"/>
      <c r="X122" s="391"/>
      <c r="Y122" s="391"/>
      <c r="Z122" s="391"/>
      <c r="AA122" s="391"/>
      <c r="AB122" s="391"/>
      <c r="AC122" s="391"/>
      <c r="AD122" s="391"/>
      <c r="AE122" s="391"/>
    </row>
    <row r="123" spans="1:31" ht="17.399999999999999" customHeight="1" x14ac:dyDescent="0.2">
      <c r="A123" s="888"/>
      <c r="B123" s="614" t="s">
        <v>21</v>
      </c>
      <c r="C123" s="389" t="s">
        <v>290</v>
      </c>
      <c r="D123" s="824">
        <f t="shared" si="40"/>
        <v>8700</v>
      </c>
      <c r="E123" s="796">
        <v>8700</v>
      </c>
      <c r="F123" s="797">
        <v>0</v>
      </c>
      <c r="G123" s="827">
        <f t="shared" si="41"/>
        <v>11947</v>
      </c>
      <c r="H123" s="804">
        <v>5022</v>
      </c>
      <c r="I123" s="805">
        <v>6925</v>
      </c>
      <c r="J123" s="827">
        <f t="shared" si="42"/>
        <v>4553.82</v>
      </c>
      <c r="K123" s="380">
        <v>4553.82</v>
      </c>
      <c r="L123" s="379">
        <v>0</v>
      </c>
      <c r="M123" s="734"/>
      <c r="N123" s="338"/>
      <c r="O123" s="338"/>
      <c r="P123" s="338"/>
      <c r="Q123" s="343" t="str">
        <f t="shared" si="44"/>
        <v>2007</v>
      </c>
      <c r="R123" s="342">
        <f t="shared" si="45"/>
        <v>8700</v>
      </c>
      <c r="S123" s="341">
        <f t="shared" si="46"/>
        <v>11947</v>
      </c>
      <c r="T123" s="341">
        <f t="shared" si="47"/>
        <v>4553.82</v>
      </c>
      <c r="U123" s="391"/>
      <c r="V123" s="391"/>
      <c r="W123" s="391"/>
      <c r="X123" s="391"/>
      <c r="Y123" s="391"/>
      <c r="Z123" s="391"/>
      <c r="AA123" s="391"/>
      <c r="AB123" s="391"/>
      <c r="AC123" s="391"/>
      <c r="AD123" s="391"/>
      <c r="AE123" s="391"/>
    </row>
    <row r="124" spans="1:31" ht="17.399999999999999" customHeight="1" x14ac:dyDescent="0.2">
      <c r="A124" s="888"/>
      <c r="B124" s="614" t="s">
        <v>21</v>
      </c>
      <c r="C124" s="389" t="s">
        <v>291</v>
      </c>
      <c r="D124" s="824">
        <f t="shared" si="40"/>
        <v>9300</v>
      </c>
      <c r="E124" s="796">
        <v>8600</v>
      </c>
      <c r="F124" s="797">
        <v>700</v>
      </c>
      <c r="G124" s="827">
        <f t="shared" si="41"/>
        <v>10568</v>
      </c>
      <c r="H124" s="804">
        <v>10568</v>
      </c>
      <c r="I124" s="805">
        <v>0</v>
      </c>
      <c r="J124" s="827">
        <f t="shared" si="42"/>
        <v>9514</v>
      </c>
      <c r="K124" s="380">
        <v>6839</v>
      </c>
      <c r="L124" s="379">
        <v>2675</v>
      </c>
      <c r="M124" s="734"/>
      <c r="N124" s="338"/>
      <c r="O124" s="338"/>
      <c r="P124" s="338"/>
      <c r="Q124" s="343" t="str">
        <f t="shared" si="44"/>
        <v>2008</v>
      </c>
      <c r="R124" s="342">
        <f t="shared" si="45"/>
        <v>9300</v>
      </c>
      <c r="S124" s="341">
        <f t="shared" si="46"/>
        <v>10568</v>
      </c>
      <c r="T124" s="341">
        <f t="shared" si="47"/>
        <v>9514</v>
      </c>
      <c r="U124" s="391"/>
      <c r="V124" s="391"/>
      <c r="W124" s="391"/>
      <c r="X124" s="391"/>
      <c r="Y124" s="391"/>
      <c r="Z124" s="391"/>
      <c r="AA124" s="391"/>
      <c r="AB124" s="391"/>
      <c r="AC124" s="391"/>
      <c r="AD124" s="391"/>
      <c r="AE124" s="391"/>
    </row>
    <row r="125" spans="1:31" ht="17.399999999999999" customHeight="1" x14ac:dyDescent="0.2">
      <c r="A125" s="888"/>
      <c r="B125" s="614" t="s">
        <v>21</v>
      </c>
      <c r="C125" s="389" t="s">
        <v>292</v>
      </c>
      <c r="D125" s="824">
        <f t="shared" si="40"/>
        <v>6900</v>
      </c>
      <c r="E125" s="796">
        <v>6500</v>
      </c>
      <c r="F125" s="797">
        <v>400</v>
      </c>
      <c r="G125" s="827">
        <f t="shared" si="41"/>
        <v>9520</v>
      </c>
      <c r="H125" s="804">
        <v>9120</v>
      </c>
      <c r="I125" s="805">
        <v>400</v>
      </c>
      <c r="J125" s="827">
        <f t="shared" si="42"/>
        <v>11124.48</v>
      </c>
      <c r="K125" s="380">
        <v>7057.08</v>
      </c>
      <c r="L125" s="379">
        <v>4067.4</v>
      </c>
      <c r="M125" s="734"/>
      <c r="N125" s="338"/>
      <c r="O125" s="338"/>
      <c r="P125" s="338"/>
      <c r="Q125" s="343" t="str">
        <f t="shared" si="44"/>
        <v>2009</v>
      </c>
      <c r="R125" s="342">
        <f t="shared" si="45"/>
        <v>6900</v>
      </c>
      <c r="S125" s="341">
        <f t="shared" si="46"/>
        <v>9520</v>
      </c>
      <c r="T125" s="341">
        <f t="shared" si="47"/>
        <v>11124.48</v>
      </c>
      <c r="U125" s="391"/>
      <c r="V125" s="391"/>
      <c r="W125" s="391"/>
      <c r="X125" s="391"/>
      <c r="Y125" s="391"/>
      <c r="Z125" s="391"/>
      <c r="AA125" s="391"/>
      <c r="AB125" s="391"/>
      <c r="AC125" s="391"/>
      <c r="AD125" s="391"/>
      <c r="AE125" s="391"/>
    </row>
    <row r="126" spans="1:31" ht="17.399999999999999" customHeight="1" x14ac:dyDescent="0.2">
      <c r="A126" s="888"/>
      <c r="B126" s="614" t="s">
        <v>21</v>
      </c>
      <c r="C126" s="389" t="s">
        <v>293</v>
      </c>
      <c r="D126" s="824">
        <f t="shared" si="40"/>
        <v>8700</v>
      </c>
      <c r="E126" s="796">
        <v>8700</v>
      </c>
      <c r="F126" s="797">
        <v>0</v>
      </c>
      <c r="G126" s="827">
        <f t="shared" si="41"/>
        <v>8785</v>
      </c>
      <c r="H126" s="804">
        <v>8785</v>
      </c>
      <c r="I126" s="805">
        <v>0</v>
      </c>
      <c r="J126" s="827">
        <f t="shared" si="42"/>
        <v>6831</v>
      </c>
      <c r="K126" s="380">
        <v>6618</v>
      </c>
      <c r="L126" s="379">
        <v>213</v>
      </c>
      <c r="M126" s="734"/>
      <c r="N126" s="338"/>
      <c r="O126" s="338"/>
      <c r="P126" s="338"/>
      <c r="Q126" s="343" t="str">
        <f t="shared" si="44"/>
        <v>2010</v>
      </c>
      <c r="R126" s="342">
        <f t="shared" si="45"/>
        <v>8700</v>
      </c>
      <c r="S126" s="341">
        <f t="shared" si="46"/>
        <v>8785</v>
      </c>
      <c r="T126" s="341">
        <f t="shared" si="47"/>
        <v>6831</v>
      </c>
      <c r="U126" s="391"/>
      <c r="V126" s="391"/>
      <c r="W126" s="391"/>
      <c r="X126" s="391"/>
      <c r="Y126" s="391"/>
      <c r="Z126" s="391"/>
      <c r="AA126" s="391"/>
      <c r="AB126" s="391"/>
      <c r="AC126" s="391"/>
      <c r="AD126" s="391"/>
      <c r="AE126" s="391"/>
    </row>
    <row r="127" spans="1:31" ht="17.399999999999999" customHeight="1" x14ac:dyDescent="0.2">
      <c r="A127" s="888"/>
      <c r="B127" s="614" t="s">
        <v>21</v>
      </c>
      <c r="C127" s="427" t="s">
        <v>294</v>
      </c>
      <c r="D127" s="834">
        <f t="shared" si="40"/>
        <v>7000</v>
      </c>
      <c r="E127" s="798">
        <v>7000</v>
      </c>
      <c r="F127" s="799">
        <v>0</v>
      </c>
      <c r="G127" s="835">
        <f t="shared" si="41"/>
        <v>8039</v>
      </c>
      <c r="H127" s="806">
        <v>8039</v>
      </c>
      <c r="I127" s="807">
        <v>0</v>
      </c>
      <c r="J127" s="835">
        <f t="shared" si="42"/>
        <v>10591</v>
      </c>
      <c r="K127" s="413">
        <v>10388</v>
      </c>
      <c r="L127" s="390">
        <v>203</v>
      </c>
      <c r="M127" s="734"/>
      <c r="N127" s="338"/>
      <c r="O127" s="338"/>
      <c r="P127" s="338"/>
      <c r="Q127" s="343" t="str">
        <f t="shared" si="44"/>
        <v>2011</v>
      </c>
      <c r="R127" s="342">
        <f t="shared" si="45"/>
        <v>7000</v>
      </c>
      <c r="S127" s="341">
        <f t="shared" si="46"/>
        <v>8039</v>
      </c>
      <c r="T127" s="341">
        <f t="shared" si="47"/>
        <v>10591</v>
      </c>
      <c r="U127" s="391"/>
      <c r="V127" s="391"/>
      <c r="W127" s="391"/>
      <c r="X127" s="391"/>
      <c r="Y127" s="391"/>
      <c r="Z127" s="391"/>
      <c r="AA127" s="391"/>
      <c r="AB127" s="391"/>
      <c r="AC127" s="391"/>
      <c r="AD127" s="391"/>
      <c r="AE127" s="391"/>
    </row>
    <row r="128" spans="1:31" ht="17.399999999999999" customHeight="1" x14ac:dyDescent="0.2">
      <c r="A128" s="888"/>
      <c r="B128" s="614" t="s">
        <v>21</v>
      </c>
      <c r="C128" s="423" t="s">
        <v>295</v>
      </c>
      <c r="D128" s="834">
        <f t="shared" si="40"/>
        <v>5000</v>
      </c>
      <c r="E128" s="798">
        <v>5000</v>
      </c>
      <c r="F128" s="799">
        <v>0</v>
      </c>
      <c r="G128" s="835">
        <f t="shared" si="41"/>
        <v>5184</v>
      </c>
      <c r="H128" s="806">
        <v>5184</v>
      </c>
      <c r="I128" s="807">
        <v>0</v>
      </c>
      <c r="J128" s="835">
        <f t="shared" si="42"/>
        <v>24644.720000000001</v>
      </c>
      <c r="K128" s="413">
        <v>24644.720000000001</v>
      </c>
      <c r="L128" s="390">
        <v>0</v>
      </c>
      <c r="M128" s="734"/>
      <c r="N128" s="338"/>
      <c r="O128" s="338"/>
      <c r="P128" s="338"/>
      <c r="Q128" s="343" t="str">
        <f t="shared" si="44"/>
        <v>2012</v>
      </c>
      <c r="R128" s="342">
        <f t="shared" si="45"/>
        <v>5000</v>
      </c>
      <c r="S128" s="341">
        <f t="shared" si="46"/>
        <v>5184</v>
      </c>
      <c r="T128" s="341">
        <f t="shared" si="47"/>
        <v>24644.720000000001</v>
      </c>
      <c r="U128" s="391"/>
      <c r="V128" s="391"/>
      <c r="W128" s="391"/>
      <c r="X128" s="391"/>
      <c r="Y128" s="391"/>
      <c r="Z128" s="391"/>
      <c r="AA128" s="391"/>
      <c r="AB128" s="391"/>
      <c r="AC128" s="391"/>
      <c r="AD128" s="391"/>
      <c r="AE128" s="391"/>
    </row>
    <row r="129" spans="1:31" ht="17.399999999999999" customHeight="1" x14ac:dyDescent="0.2">
      <c r="A129" s="888"/>
      <c r="B129" s="614" t="s">
        <v>21</v>
      </c>
      <c r="C129" s="423" t="s">
        <v>296</v>
      </c>
      <c r="D129" s="834">
        <f t="shared" si="40"/>
        <v>6400</v>
      </c>
      <c r="E129" s="798">
        <v>5900</v>
      </c>
      <c r="F129" s="799">
        <v>500</v>
      </c>
      <c r="G129" s="835">
        <f t="shared" si="41"/>
        <v>7742</v>
      </c>
      <c r="H129" s="806">
        <v>5725</v>
      </c>
      <c r="I129" s="807">
        <v>2017</v>
      </c>
      <c r="J129" s="835">
        <f t="shared" si="42"/>
        <v>13740.77</v>
      </c>
      <c r="K129" s="413">
        <v>13740.77</v>
      </c>
      <c r="L129" s="390">
        <v>0</v>
      </c>
      <c r="M129" s="734"/>
      <c r="N129" s="338"/>
      <c r="O129" s="338"/>
      <c r="P129" s="338"/>
      <c r="Q129" s="343" t="str">
        <f t="shared" si="44"/>
        <v>2013</v>
      </c>
      <c r="R129" s="342">
        <f t="shared" si="45"/>
        <v>6400</v>
      </c>
      <c r="S129" s="341">
        <f t="shared" si="46"/>
        <v>7742</v>
      </c>
      <c r="T129" s="341">
        <f t="shared" si="47"/>
        <v>13740.77</v>
      </c>
      <c r="U129" s="391"/>
      <c r="V129" s="391"/>
      <c r="W129" s="391"/>
      <c r="X129" s="391"/>
      <c r="Y129" s="391"/>
      <c r="Z129" s="391"/>
      <c r="AA129" s="391"/>
      <c r="AB129" s="391"/>
      <c r="AC129" s="391"/>
      <c r="AD129" s="391"/>
      <c r="AE129" s="391"/>
    </row>
    <row r="130" spans="1:31" ht="17.399999999999999" customHeight="1" x14ac:dyDescent="0.2">
      <c r="A130" s="888"/>
      <c r="B130" s="614" t="s">
        <v>21</v>
      </c>
      <c r="C130" s="423" t="s">
        <v>297</v>
      </c>
      <c r="D130" s="834">
        <f t="shared" si="40"/>
        <v>7493</v>
      </c>
      <c r="E130" s="798">
        <v>4572</v>
      </c>
      <c r="F130" s="799">
        <v>2921</v>
      </c>
      <c r="G130" s="835">
        <f t="shared" si="41"/>
        <v>7423</v>
      </c>
      <c r="H130" s="806">
        <v>4502</v>
      </c>
      <c r="I130" s="807">
        <v>2921</v>
      </c>
      <c r="J130" s="835">
        <f t="shared" si="42"/>
        <v>10980.710000000001</v>
      </c>
      <c r="K130" s="413">
        <v>8482.6</v>
      </c>
      <c r="L130" s="390">
        <v>2498.11</v>
      </c>
      <c r="M130" s="734"/>
      <c r="N130" s="338"/>
      <c r="O130" s="338"/>
      <c r="P130" s="338"/>
      <c r="Q130" s="343" t="str">
        <f t="shared" si="44"/>
        <v>2014</v>
      </c>
      <c r="R130" s="342">
        <f t="shared" si="45"/>
        <v>7493</v>
      </c>
      <c r="S130" s="341">
        <f t="shared" si="46"/>
        <v>7423</v>
      </c>
      <c r="T130" s="341">
        <f t="shared" si="47"/>
        <v>10980.710000000001</v>
      </c>
      <c r="U130" s="391"/>
      <c r="V130" s="391"/>
      <c r="W130" s="391"/>
      <c r="X130" s="391"/>
      <c r="Y130" s="391"/>
      <c r="Z130" s="391"/>
      <c r="AA130" s="391"/>
      <c r="AB130" s="391"/>
      <c r="AC130" s="391"/>
      <c r="AD130" s="391"/>
      <c r="AE130" s="391"/>
    </row>
    <row r="131" spans="1:31" ht="17.399999999999999" customHeight="1" x14ac:dyDescent="0.2">
      <c r="A131" s="888"/>
      <c r="B131" s="614" t="s">
        <v>21</v>
      </c>
      <c r="C131" s="423" t="s">
        <v>298</v>
      </c>
      <c r="D131" s="830">
        <f t="shared" si="40"/>
        <v>6500</v>
      </c>
      <c r="E131" s="800">
        <v>6500</v>
      </c>
      <c r="F131" s="801">
        <v>0</v>
      </c>
      <c r="G131" s="831">
        <f t="shared" si="41"/>
        <v>6799</v>
      </c>
      <c r="H131" s="808">
        <v>6799</v>
      </c>
      <c r="I131" s="809">
        <v>0</v>
      </c>
      <c r="J131" s="831">
        <f t="shared" si="42"/>
        <v>7949.22</v>
      </c>
      <c r="K131" s="420">
        <v>4534.43</v>
      </c>
      <c r="L131" s="419">
        <v>3414.79</v>
      </c>
      <c r="M131" s="735"/>
      <c r="N131" s="338"/>
      <c r="O131" s="338"/>
      <c r="P131" s="338"/>
      <c r="Q131" s="343" t="str">
        <f t="shared" si="44"/>
        <v>2015</v>
      </c>
      <c r="R131" s="342">
        <f t="shared" si="45"/>
        <v>6500</v>
      </c>
      <c r="S131" s="341">
        <f t="shared" si="46"/>
        <v>6799</v>
      </c>
      <c r="T131" s="341">
        <f t="shared" si="47"/>
        <v>7949.22</v>
      </c>
      <c r="U131" s="350"/>
      <c r="V131" s="350"/>
      <c r="W131" s="350"/>
      <c r="X131" s="350"/>
      <c r="Y131" s="350"/>
      <c r="Z131" s="350"/>
      <c r="AA131" s="350"/>
      <c r="AB131" s="350"/>
      <c r="AC131" s="350"/>
      <c r="AD131" s="350"/>
      <c r="AE131" s="350"/>
    </row>
    <row r="132" spans="1:31" ht="17.399999999999999" customHeight="1" thickBot="1" x14ac:dyDescent="0.25">
      <c r="A132" s="889"/>
      <c r="B132" s="614" t="s">
        <v>21</v>
      </c>
      <c r="C132" s="423" t="s">
        <v>438</v>
      </c>
      <c r="D132" s="832">
        <f t="shared" si="40"/>
        <v>7200</v>
      </c>
      <c r="E132" s="812">
        <v>7200</v>
      </c>
      <c r="F132" s="813">
        <v>0</v>
      </c>
      <c r="G132" s="833">
        <f t="shared" si="41"/>
        <v>0</v>
      </c>
      <c r="H132" s="814"/>
      <c r="I132" s="815"/>
      <c r="J132" s="833">
        <f t="shared" si="42"/>
        <v>0</v>
      </c>
      <c r="K132" s="418"/>
      <c r="L132" s="417"/>
      <c r="M132" s="735"/>
      <c r="N132" s="338"/>
      <c r="O132" s="338"/>
      <c r="P132" s="338"/>
      <c r="Q132" s="343" t="str">
        <f t="shared" si="44"/>
        <v>2016</v>
      </c>
      <c r="R132" s="342">
        <f t="shared" si="45"/>
        <v>7200</v>
      </c>
      <c r="S132" s="341">
        <f t="shared" si="46"/>
        <v>0</v>
      </c>
      <c r="T132" s="341">
        <f t="shared" si="47"/>
        <v>0</v>
      </c>
      <c r="U132" s="350"/>
      <c r="V132" s="350"/>
      <c r="W132" s="350"/>
      <c r="X132" s="350"/>
      <c r="Y132" s="350"/>
      <c r="Z132" s="350"/>
      <c r="AA132" s="350"/>
      <c r="AB132" s="350"/>
      <c r="AC132" s="350"/>
      <c r="AD132" s="350"/>
      <c r="AE132" s="350"/>
    </row>
    <row r="133" spans="1:31" ht="56.25" customHeight="1" thickBot="1" x14ac:dyDescent="0.25">
      <c r="A133" s="887" t="s">
        <v>223</v>
      </c>
      <c r="B133" s="609" t="s">
        <v>204</v>
      </c>
      <c r="C133" s="412" t="s">
        <v>384</v>
      </c>
      <c r="D133" s="411" t="s">
        <v>383</v>
      </c>
      <c r="E133" s="410" t="s">
        <v>390</v>
      </c>
      <c r="F133" s="409" t="s">
        <v>389</v>
      </c>
      <c r="G133" s="838" t="s">
        <v>382</v>
      </c>
      <c r="H133" s="839" t="s">
        <v>388</v>
      </c>
      <c r="I133" s="840" t="s">
        <v>387</v>
      </c>
      <c r="J133" s="408" t="s">
        <v>381</v>
      </c>
      <c r="K133" s="407" t="s">
        <v>393</v>
      </c>
      <c r="L133" s="406" t="s">
        <v>392</v>
      </c>
      <c r="Q133" s="349" t="s">
        <v>384</v>
      </c>
      <c r="R133" s="348" t="s">
        <v>383</v>
      </c>
      <c r="S133" s="347" t="s">
        <v>382</v>
      </c>
      <c r="T133" s="346" t="s">
        <v>381</v>
      </c>
    </row>
    <row r="134" spans="1:31" ht="15.75" hidden="1" customHeight="1" outlineLevel="1" x14ac:dyDescent="0.2">
      <c r="A134" s="888"/>
      <c r="B134" s="614" t="s">
        <v>25</v>
      </c>
      <c r="C134" s="435" t="s">
        <v>434</v>
      </c>
      <c r="D134" s="405">
        <f t="shared" ref="D134:D154" si="48">SUM(E134+F134)</f>
        <v>8756</v>
      </c>
      <c r="E134" s="404">
        <v>592.79999999999995</v>
      </c>
      <c r="F134" s="403">
        <v>8163.2</v>
      </c>
      <c r="G134" s="402">
        <f t="shared" ref="G134:G154" si="49">SUM(H134+I134)</f>
        <v>38579.9</v>
      </c>
      <c r="H134" s="401">
        <v>7311.86</v>
      </c>
      <c r="I134" s="400">
        <v>31268.04</v>
      </c>
      <c r="J134" s="402">
        <f t="shared" ref="J134:J154" si="50">SUM(K134:L134)</f>
        <v>14337.04</v>
      </c>
      <c r="K134" s="401">
        <v>0</v>
      </c>
      <c r="L134" s="400">
        <v>14337.04</v>
      </c>
      <c r="M134" s="734">
        <f t="shared" ref="M134:M142" si="51">SUM(K134:L134)</f>
        <v>14337.04</v>
      </c>
      <c r="N134" s="338"/>
      <c r="O134" s="338"/>
      <c r="P134" s="338"/>
      <c r="Q134" s="345" t="str">
        <f t="shared" ref="Q134:Q154" si="52">+C134</f>
        <v>1996</v>
      </c>
      <c r="R134" s="342">
        <f t="shared" ref="R134:R154" si="53">+D134</f>
        <v>8756</v>
      </c>
      <c r="S134" s="341">
        <f t="shared" ref="S134:S154" si="54">+G134</f>
        <v>38579.9</v>
      </c>
      <c r="T134" s="341">
        <f t="shared" ref="T134:T154" si="55">+J134</f>
        <v>14337.04</v>
      </c>
      <c r="U134" s="391"/>
      <c r="V134" s="391"/>
      <c r="W134" s="391"/>
      <c r="X134" s="391"/>
      <c r="Y134" s="391"/>
      <c r="Z134" s="391"/>
      <c r="AA134" s="391"/>
      <c r="AB134" s="391"/>
      <c r="AC134" s="391"/>
      <c r="AD134" s="391"/>
      <c r="AE134" s="391"/>
    </row>
    <row r="135" spans="1:31" ht="15.75" hidden="1" customHeight="1" outlineLevel="1" x14ac:dyDescent="0.2">
      <c r="A135" s="888"/>
      <c r="B135" s="614" t="s">
        <v>25</v>
      </c>
      <c r="C135" s="399" t="s">
        <v>435</v>
      </c>
      <c r="D135" s="398">
        <f t="shared" si="48"/>
        <v>25800</v>
      </c>
      <c r="E135" s="397">
        <v>0</v>
      </c>
      <c r="F135" s="396">
        <v>25800</v>
      </c>
      <c r="G135" s="395">
        <f t="shared" si="49"/>
        <v>28965.99</v>
      </c>
      <c r="H135" s="394">
        <v>11.88</v>
      </c>
      <c r="I135" s="393">
        <v>28954.11</v>
      </c>
      <c r="J135" s="395">
        <f t="shared" si="50"/>
        <v>20986</v>
      </c>
      <c r="K135" s="394">
        <v>18.059999999999999</v>
      </c>
      <c r="L135" s="393">
        <v>20967.939999999999</v>
      </c>
      <c r="M135" s="734">
        <f t="shared" si="51"/>
        <v>20986</v>
      </c>
      <c r="N135" s="338"/>
      <c r="O135" s="338"/>
      <c r="P135" s="338"/>
      <c r="Q135" s="345" t="str">
        <f t="shared" si="52"/>
        <v>1997</v>
      </c>
      <c r="R135" s="342">
        <f t="shared" si="53"/>
        <v>25800</v>
      </c>
      <c r="S135" s="341">
        <f t="shared" si="54"/>
        <v>28965.99</v>
      </c>
      <c r="T135" s="341">
        <f t="shared" si="55"/>
        <v>20986</v>
      </c>
      <c r="U135" s="391"/>
      <c r="V135" s="391"/>
      <c r="W135" s="391"/>
      <c r="X135" s="391"/>
      <c r="Y135" s="391"/>
      <c r="Z135" s="391"/>
      <c r="AA135" s="391"/>
      <c r="AB135" s="391"/>
      <c r="AC135" s="391"/>
      <c r="AD135" s="391"/>
      <c r="AE135" s="391"/>
    </row>
    <row r="136" spans="1:31" ht="15.75" hidden="1" customHeight="1" outlineLevel="1" x14ac:dyDescent="0.2">
      <c r="A136" s="888"/>
      <c r="B136" s="614" t="s">
        <v>25</v>
      </c>
      <c r="C136" s="399" t="s">
        <v>436</v>
      </c>
      <c r="D136" s="398">
        <f t="shared" si="48"/>
        <v>20000</v>
      </c>
      <c r="E136" s="397">
        <v>1700</v>
      </c>
      <c r="F136" s="396">
        <v>18300</v>
      </c>
      <c r="G136" s="395">
        <f t="shared" si="49"/>
        <v>4257</v>
      </c>
      <c r="H136" s="394">
        <v>0</v>
      </c>
      <c r="I136" s="393">
        <v>4257</v>
      </c>
      <c r="J136" s="395">
        <f t="shared" si="50"/>
        <v>21203.24</v>
      </c>
      <c r="K136" s="394">
        <v>3.18</v>
      </c>
      <c r="L136" s="393">
        <v>21200.06</v>
      </c>
      <c r="M136" s="734">
        <f t="shared" si="51"/>
        <v>21203.24</v>
      </c>
      <c r="N136" s="338"/>
      <c r="O136" s="338"/>
      <c r="P136" s="338"/>
      <c r="Q136" s="345" t="str">
        <f t="shared" si="52"/>
        <v>1998</v>
      </c>
      <c r="R136" s="342">
        <f t="shared" si="53"/>
        <v>20000</v>
      </c>
      <c r="S136" s="341">
        <f t="shared" si="54"/>
        <v>4257</v>
      </c>
      <c r="T136" s="341">
        <f t="shared" si="55"/>
        <v>21203.24</v>
      </c>
      <c r="U136" s="391"/>
      <c r="V136" s="391"/>
      <c r="W136" s="391"/>
      <c r="X136" s="391"/>
      <c r="Y136" s="391"/>
      <c r="Z136" s="391"/>
      <c r="AA136" s="391"/>
      <c r="AB136" s="391"/>
      <c r="AC136" s="391"/>
      <c r="AD136" s="391"/>
      <c r="AE136" s="391"/>
    </row>
    <row r="137" spans="1:31" ht="15.75" hidden="1" customHeight="1" outlineLevel="1" x14ac:dyDescent="0.2">
      <c r="A137" s="888"/>
      <c r="B137" s="614" t="s">
        <v>25</v>
      </c>
      <c r="C137" s="389" t="s">
        <v>437</v>
      </c>
      <c r="D137" s="388">
        <f t="shared" si="48"/>
        <v>34900</v>
      </c>
      <c r="E137" s="386">
        <v>936</v>
      </c>
      <c r="F137" s="381">
        <v>33964</v>
      </c>
      <c r="G137" s="383">
        <f t="shared" si="49"/>
        <v>44558</v>
      </c>
      <c r="H137" s="384">
        <v>1839.16</v>
      </c>
      <c r="I137" s="392">
        <v>42718.84</v>
      </c>
      <c r="J137" s="383">
        <f t="shared" si="50"/>
        <v>32002.69</v>
      </c>
      <c r="K137" s="384">
        <v>0</v>
      </c>
      <c r="L137" s="392">
        <v>32002.69</v>
      </c>
      <c r="M137" s="734">
        <f t="shared" si="51"/>
        <v>32002.69</v>
      </c>
      <c r="N137" s="338"/>
      <c r="O137" s="338"/>
      <c r="P137" s="338"/>
      <c r="Q137" s="345" t="str">
        <f t="shared" si="52"/>
        <v>1999</v>
      </c>
      <c r="R137" s="342">
        <f t="shared" si="53"/>
        <v>34900</v>
      </c>
      <c r="S137" s="341">
        <f t="shared" si="54"/>
        <v>44558</v>
      </c>
      <c r="T137" s="341">
        <f t="shared" si="55"/>
        <v>32002.69</v>
      </c>
      <c r="U137" s="391"/>
      <c r="V137" s="391"/>
      <c r="W137" s="391"/>
      <c r="X137" s="391"/>
      <c r="Y137" s="391"/>
      <c r="Z137" s="391"/>
      <c r="AA137" s="391"/>
      <c r="AB137" s="391"/>
      <c r="AC137" s="391"/>
      <c r="AD137" s="391"/>
      <c r="AE137" s="391"/>
    </row>
    <row r="138" spans="1:31" ht="17.399999999999999" hidden="1" customHeight="1" outlineLevel="1" x14ac:dyDescent="0.2">
      <c r="A138" s="888"/>
      <c r="B138" s="614" t="s">
        <v>25</v>
      </c>
      <c r="C138" s="428" t="s">
        <v>283</v>
      </c>
      <c r="D138" s="388">
        <f t="shared" si="48"/>
        <v>28800</v>
      </c>
      <c r="E138" s="384">
        <v>1968</v>
      </c>
      <c r="F138" s="392">
        <v>26832</v>
      </c>
      <c r="G138" s="383">
        <f t="shared" si="49"/>
        <v>30908</v>
      </c>
      <c r="H138" s="384">
        <v>2105.04</v>
      </c>
      <c r="I138" s="392">
        <v>28802.959999999999</v>
      </c>
      <c r="J138" s="383">
        <f t="shared" si="50"/>
        <v>41566.22</v>
      </c>
      <c r="K138" s="380">
        <v>713.81</v>
      </c>
      <c r="L138" s="379">
        <v>40852.410000000003</v>
      </c>
      <c r="M138" s="734">
        <f t="shared" si="51"/>
        <v>41566.22</v>
      </c>
      <c r="N138" s="338"/>
      <c r="O138" s="338"/>
      <c r="P138" s="338"/>
      <c r="Q138" s="345" t="str">
        <f t="shared" si="52"/>
        <v>2000</v>
      </c>
      <c r="R138" s="342">
        <f t="shared" si="53"/>
        <v>28800</v>
      </c>
      <c r="S138" s="341">
        <f t="shared" si="54"/>
        <v>30908</v>
      </c>
      <c r="T138" s="341">
        <f t="shared" si="55"/>
        <v>41566.22</v>
      </c>
      <c r="U138" s="391"/>
      <c r="V138" s="391"/>
      <c r="W138" s="391"/>
      <c r="X138" s="391"/>
      <c r="Y138" s="391"/>
      <c r="Z138" s="391"/>
      <c r="AA138" s="391"/>
      <c r="AB138" s="391"/>
      <c r="AC138" s="391"/>
      <c r="AD138" s="391"/>
      <c r="AE138" s="391"/>
    </row>
    <row r="139" spans="1:31" ht="17.399999999999999" hidden="1" customHeight="1" outlineLevel="1" x14ac:dyDescent="0.2">
      <c r="A139" s="888"/>
      <c r="B139" s="614" t="s">
        <v>25</v>
      </c>
      <c r="C139" s="389" t="s">
        <v>284</v>
      </c>
      <c r="D139" s="388">
        <f t="shared" si="48"/>
        <v>31000</v>
      </c>
      <c r="E139" s="384">
        <v>1382</v>
      </c>
      <c r="F139" s="392">
        <v>29618</v>
      </c>
      <c r="G139" s="383">
        <f t="shared" si="49"/>
        <v>23088</v>
      </c>
      <c r="H139" s="384">
        <v>0</v>
      </c>
      <c r="I139" s="392">
        <v>23088</v>
      </c>
      <c r="J139" s="383">
        <f t="shared" si="50"/>
        <v>33946.410000000003</v>
      </c>
      <c r="K139" s="380">
        <v>2596.0700000000002</v>
      </c>
      <c r="L139" s="379">
        <v>31350.34</v>
      </c>
      <c r="M139" s="734">
        <f t="shared" si="51"/>
        <v>33946.410000000003</v>
      </c>
      <c r="N139" s="338"/>
      <c r="O139" s="338"/>
      <c r="P139" s="338"/>
      <c r="Q139" s="343" t="str">
        <f t="shared" si="52"/>
        <v>2001</v>
      </c>
      <c r="R139" s="342">
        <f t="shared" si="53"/>
        <v>31000</v>
      </c>
      <c r="S139" s="341">
        <f t="shared" si="54"/>
        <v>23088</v>
      </c>
      <c r="T139" s="341">
        <f t="shared" si="55"/>
        <v>33946.410000000003</v>
      </c>
      <c r="U139" s="391"/>
      <c r="V139" s="391"/>
      <c r="W139" s="391"/>
      <c r="X139" s="391"/>
      <c r="Y139" s="391"/>
      <c r="Z139" s="391"/>
      <c r="AA139" s="391"/>
      <c r="AB139" s="391"/>
      <c r="AC139" s="391"/>
      <c r="AD139" s="391"/>
      <c r="AE139" s="391"/>
    </row>
    <row r="140" spans="1:31" ht="17.399999999999999" hidden="1" customHeight="1" outlineLevel="1" x14ac:dyDescent="0.2">
      <c r="A140" s="888"/>
      <c r="B140" s="614" t="s">
        <v>25</v>
      </c>
      <c r="C140" s="389" t="s">
        <v>285</v>
      </c>
      <c r="D140" s="388">
        <f t="shared" si="48"/>
        <v>19900</v>
      </c>
      <c r="E140" s="384">
        <v>900</v>
      </c>
      <c r="F140" s="392">
        <v>19000</v>
      </c>
      <c r="G140" s="383">
        <f t="shared" si="49"/>
        <v>20623</v>
      </c>
      <c r="H140" s="384">
        <v>1335.94</v>
      </c>
      <c r="I140" s="392">
        <v>19287.060000000001</v>
      </c>
      <c r="J140" s="383">
        <f t="shared" si="50"/>
        <v>27597.37</v>
      </c>
      <c r="K140" s="380">
        <v>2249.86</v>
      </c>
      <c r="L140" s="379">
        <v>25347.51</v>
      </c>
      <c r="M140" s="734">
        <f t="shared" si="51"/>
        <v>27597.37</v>
      </c>
      <c r="N140" s="338"/>
      <c r="O140" s="338"/>
      <c r="P140" s="338"/>
      <c r="Q140" s="343" t="str">
        <f t="shared" si="52"/>
        <v>2002</v>
      </c>
      <c r="R140" s="342">
        <f t="shared" si="53"/>
        <v>19900</v>
      </c>
      <c r="S140" s="341">
        <f t="shared" si="54"/>
        <v>20623</v>
      </c>
      <c r="T140" s="341">
        <f t="shared" si="55"/>
        <v>27597.37</v>
      </c>
      <c r="U140" s="391"/>
      <c r="V140" s="391"/>
      <c r="W140" s="391"/>
      <c r="X140" s="391"/>
      <c r="Y140" s="391"/>
      <c r="Z140" s="391"/>
      <c r="AA140" s="391"/>
      <c r="AB140" s="391"/>
      <c r="AC140" s="391"/>
      <c r="AD140" s="391"/>
      <c r="AE140" s="391"/>
    </row>
    <row r="141" spans="1:31" ht="17.399999999999999" hidden="1" customHeight="1" outlineLevel="1" x14ac:dyDescent="0.2">
      <c r="A141" s="888"/>
      <c r="B141" s="614" t="s">
        <v>25</v>
      </c>
      <c r="C141" s="389" t="s">
        <v>286</v>
      </c>
      <c r="D141" s="388">
        <f t="shared" si="48"/>
        <v>28391</v>
      </c>
      <c r="E141" s="384">
        <v>936.83</v>
      </c>
      <c r="F141" s="392">
        <v>27454.17</v>
      </c>
      <c r="G141" s="383">
        <f t="shared" si="49"/>
        <v>16577</v>
      </c>
      <c r="H141" s="384">
        <v>1124.8499999999999</v>
      </c>
      <c r="I141" s="392">
        <v>15452.15</v>
      </c>
      <c r="J141" s="383">
        <f t="shared" si="50"/>
        <v>18760.690000000002</v>
      </c>
      <c r="K141" s="380">
        <v>837.88</v>
      </c>
      <c r="L141" s="379">
        <v>17922.810000000001</v>
      </c>
      <c r="M141" s="734">
        <f t="shared" si="51"/>
        <v>18760.690000000002</v>
      </c>
      <c r="N141" s="338"/>
      <c r="O141" s="338"/>
      <c r="P141" s="338"/>
      <c r="Q141" s="343" t="str">
        <f t="shared" si="52"/>
        <v>2003</v>
      </c>
      <c r="R141" s="342">
        <f t="shared" si="53"/>
        <v>28391</v>
      </c>
      <c r="S141" s="341">
        <f t="shared" si="54"/>
        <v>16577</v>
      </c>
      <c r="T141" s="341">
        <f t="shared" si="55"/>
        <v>18760.690000000002</v>
      </c>
      <c r="U141" s="391"/>
      <c r="V141" s="391"/>
      <c r="W141" s="391"/>
      <c r="X141" s="391"/>
      <c r="Y141" s="391"/>
      <c r="Z141" s="391"/>
      <c r="AA141" s="391"/>
      <c r="AB141" s="391"/>
      <c r="AC141" s="391"/>
      <c r="AD141" s="391"/>
      <c r="AE141" s="391"/>
    </row>
    <row r="142" spans="1:31" ht="17.399999999999999" hidden="1" customHeight="1" outlineLevel="1" x14ac:dyDescent="0.2">
      <c r="A142" s="888"/>
      <c r="B142" s="614" t="s">
        <v>25</v>
      </c>
      <c r="C142" s="389" t="s">
        <v>287</v>
      </c>
      <c r="D142" s="388">
        <f t="shared" si="48"/>
        <v>28500</v>
      </c>
      <c r="E142" s="384">
        <v>3500</v>
      </c>
      <c r="F142" s="392">
        <v>25000</v>
      </c>
      <c r="G142" s="383">
        <f t="shared" si="49"/>
        <v>33324</v>
      </c>
      <c r="H142" s="384">
        <v>1744.91</v>
      </c>
      <c r="I142" s="392">
        <v>31579.09</v>
      </c>
      <c r="J142" s="383">
        <f t="shared" si="50"/>
        <v>28889.69</v>
      </c>
      <c r="K142" s="380">
        <v>1073.3499999999999</v>
      </c>
      <c r="L142" s="379">
        <v>27816.34</v>
      </c>
      <c r="M142" s="734">
        <f t="shared" si="51"/>
        <v>28889.69</v>
      </c>
      <c r="N142" s="338"/>
      <c r="O142" s="338"/>
      <c r="P142" s="338"/>
      <c r="Q142" s="343" t="str">
        <f t="shared" si="52"/>
        <v>2004</v>
      </c>
      <c r="R142" s="342">
        <f t="shared" si="53"/>
        <v>28500</v>
      </c>
      <c r="S142" s="341">
        <f t="shared" si="54"/>
        <v>33324</v>
      </c>
      <c r="T142" s="341">
        <f t="shared" si="55"/>
        <v>28889.69</v>
      </c>
      <c r="U142" s="391"/>
      <c r="V142" s="391"/>
      <c r="W142" s="391"/>
      <c r="X142" s="391"/>
      <c r="Y142" s="391"/>
      <c r="Z142" s="391"/>
      <c r="AA142" s="391"/>
      <c r="AB142" s="391"/>
      <c r="AC142" s="391"/>
      <c r="AD142" s="391"/>
      <c r="AE142" s="391"/>
    </row>
    <row r="143" spans="1:31" ht="17.399999999999999" hidden="1" customHeight="1" outlineLevel="1" x14ac:dyDescent="0.2">
      <c r="A143" s="888"/>
      <c r="B143" s="614" t="s">
        <v>25</v>
      </c>
      <c r="C143" s="389" t="s">
        <v>288</v>
      </c>
      <c r="D143" s="388">
        <f t="shared" si="48"/>
        <v>24402</v>
      </c>
      <c r="E143" s="384">
        <v>5118.32</v>
      </c>
      <c r="F143" s="392">
        <v>19283.68</v>
      </c>
      <c r="G143" s="383">
        <f t="shared" si="49"/>
        <v>31272</v>
      </c>
      <c r="H143" s="384">
        <v>2176</v>
      </c>
      <c r="I143" s="392">
        <v>29096</v>
      </c>
      <c r="J143" s="383">
        <f t="shared" si="50"/>
        <v>33331.240000000005</v>
      </c>
      <c r="K143" s="380">
        <v>388.48</v>
      </c>
      <c r="L143" s="379">
        <v>32942.76</v>
      </c>
      <c r="M143" s="734"/>
      <c r="N143" s="338"/>
      <c r="O143" s="338"/>
      <c r="P143" s="338"/>
      <c r="Q143" s="343" t="str">
        <f t="shared" si="52"/>
        <v>2005</v>
      </c>
      <c r="R143" s="342">
        <f t="shared" si="53"/>
        <v>24402</v>
      </c>
      <c r="S143" s="341">
        <f t="shared" si="54"/>
        <v>31272</v>
      </c>
      <c r="T143" s="341">
        <f t="shared" si="55"/>
        <v>33331.240000000005</v>
      </c>
      <c r="U143" s="391"/>
      <c r="V143" s="391"/>
      <c r="W143" s="391"/>
      <c r="X143" s="391"/>
      <c r="Y143" s="391"/>
      <c r="Z143" s="391"/>
      <c r="AA143" s="391"/>
      <c r="AB143" s="391"/>
      <c r="AC143" s="391"/>
      <c r="AD143" s="391"/>
      <c r="AE143" s="391"/>
    </row>
    <row r="144" spans="1:31" ht="17.399999999999999" customHeight="1" collapsed="1" x14ac:dyDescent="0.2">
      <c r="A144" s="888"/>
      <c r="B144" s="614" t="s">
        <v>25</v>
      </c>
      <c r="C144" s="389" t="s">
        <v>289</v>
      </c>
      <c r="D144" s="824">
        <f t="shared" si="48"/>
        <v>24538</v>
      </c>
      <c r="E144" s="796">
        <v>425.5</v>
      </c>
      <c r="F144" s="797">
        <v>24112.5</v>
      </c>
      <c r="G144" s="827">
        <f t="shared" si="49"/>
        <v>31178</v>
      </c>
      <c r="H144" s="804">
        <v>5926.79</v>
      </c>
      <c r="I144" s="805">
        <v>25251.21</v>
      </c>
      <c r="J144" s="827">
        <f t="shared" si="50"/>
        <v>12787</v>
      </c>
      <c r="K144" s="380">
        <v>1707.82</v>
      </c>
      <c r="L144" s="379">
        <v>11079.18</v>
      </c>
      <c r="M144" s="734"/>
      <c r="N144" s="338"/>
      <c r="O144" s="338"/>
      <c r="P144" s="338"/>
      <c r="Q144" s="343" t="str">
        <f t="shared" si="52"/>
        <v>2006</v>
      </c>
      <c r="R144" s="342">
        <f t="shared" si="53"/>
        <v>24538</v>
      </c>
      <c r="S144" s="341">
        <f t="shared" si="54"/>
        <v>31178</v>
      </c>
      <c r="T144" s="341">
        <f t="shared" si="55"/>
        <v>12787</v>
      </c>
      <c r="U144" s="391"/>
      <c r="V144" s="391"/>
      <c r="W144" s="391"/>
      <c r="X144" s="391"/>
      <c r="Y144" s="391"/>
      <c r="Z144" s="391"/>
      <c r="AA144" s="391"/>
      <c r="AB144" s="391"/>
      <c r="AC144" s="391"/>
      <c r="AD144" s="391"/>
      <c r="AE144" s="391"/>
    </row>
    <row r="145" spans="1:31" ht="17.399999999999999" customHeight="1" x14ac:dyDescent="0.2">
      <c r="A145" s="888"/>
      <c r="B145" s="614" t="s">
        <v>25</v>
      </c>
      <c r="C145" s="389" t="s">
        <v>290</v>
      </c>
      <c r="D145" s="824">
        <f t="shared" si="48"/>
        <v>23314</v>
      </c>
      <c r="E145" s="796">
        <v>7018.36</v>
      </c>
      <c r="F145" s="797">
        <v>16295.64</v>
      </c>
      <c r="G145" s="827">
        <f t="shared" si="49"/>
        <v>9270</v>
      </c>
      <c r="H145" s="804">
        <v>693</v>
      </c>
      <c r="I145" s="805">
        <v>8577</v>
      </c>
      <c r="J145" s="827">
        <f t="shared" si="50"/>
        <v>23408.050000000003</v>
      </c>
      <c r="K145" s="380">
        <v>3002.72</v>
      </c>
      <c r="L145" s="379">
        <v>20405.330000000002</v>
      </c>
      <c r="M145" s="734"/>
      <c r="N145" s="338"/>
      <c r="O145" s="338"/>
      <c r="P145" s="338"/>
      <c r="Q145" s="343" t="str">
        <f t="shared" si="52"/>
        <v>2007</v>
      </c>
      <c r="R145" s="342">
        <f t="shared" si="53"/>
        <v>23314</v>
      </c>
      <c r="S145" s="341">
        <f t="shared" si="54"/>
        <v>9270</v>
      </c>
      <c r="T145" s="341">
        <f t="shared" si="55"/>
        <v>23408.050000000003</v>
      </c>
      <c r="U145" s="391"/>
      <c r="V145" s="391"/>
      <c r="W145" s="391"/>
      <c r="X145" s="391"/>
      <c r="Y145" s="391"/>
      <c r="Z145" s="391"/>
      <c r="AA145" s="391"/>
      <c r="AB145" s="391"/>
      <c r="AC145" s="391"/>
      <c r="AD145" s="391"/>
      <c r="AE145" s="391"/>
    </row>
    <row r="146" spans="1:31" ht="17.399999999999999" customHeight="1" x14ac:dyDescent="0.2">
      <c r="A146" s="888"/>
      <c r="B146" s="614" t="s">
        <v>25</v>
      </c>
      <c r="C146" s="389" t="s">
        <v>291</v>
      </c>
      <c r="D146" s="824">
        <f t="shared" si="48"/>
        <v>21400</v>
      </c>
      <c r="E146" s="796">
        <v>2167</v>
      </c>
      <c r="F146" s="797">
        <v>19233</v>
      </c>
      <c r="G146" s="827">
        <f t="shared" si="49"/>
        <v>27496</v>
      </c>
      <c r="H146" s="804">
        <v>5437</v>
      </c>
      <c r="I146" s="805">
        <v>22059</v>
      </c>
      <c r="J146" s="827">
        <f t="shared" si="50"/>
        <v>19938</v>
      </c>
      <c r="K146" s="380">
        <v>5301</v>
      </c>
      <c r="L146" s="379">
        <v>14637</v>
      </c>
      <c r="M146" s="734"/>
      <c r="N146" s="338"/>
      <c r="O146" s="338"/>
      <c r="P146" s="338"/>
      <c r="Q146" s="343" t="str">
        <f t="shared" si="52"/>
        <v>2008</v>
      </c>
      <c r="R146" s="342">
        <f t="shared" si="53"/>
        <v>21400</v>
      </c>
      <c r="S146" s="341">
        <f t="shared" si="54"/>
        <v>27496</v>
      </c>
      <c r="T146" s="341">
        <f t="shared" si="55"/>
        <v>19938</v>
      </c>
      <c r="U146" s="391"/>
      <c r="V146" s="391"/>
      <c r="W146" s="391"/>
      <c r="X146" s="391"/>
      <c r="Y146" s="391"/>
      <c r="Z146" s="391"/>
      <c r="AA146" s="391"/>
      <c r="AB146" s="391"/>
      <c r="AC146" s="391"/>
      <c r="AD146" s="391"/>
      <c r="AE146" s="391"/>
    </row>
    <row r="147" spans="1:31" ht="17.399999999999999" customHeight="1" x14ac:dyDescent="0.2">
      <c r="A147" s="888"/>
      <c r="B147" s="614" t="s">
        <v>25</v>
      </c>
      <c r="C147" s="389" t="s">
        <v>292</v>
      </c>
      <c r="D147" s="824">
        <f t="shared" si="48"/>
        <v>30045.75</v>
      </c>
      <c r="E147" s="796">
        <v>284.75</v>
      </c>
      <c r="F147" s="797">
        <v>29761</v>
      </c>
      <c r="G147" s="827">
        <f t="shared" si="49"/>
        <v>33901.092499999999</v>
      </c>
      <c r="H147" s="804">
        <v>395.80250000000001</v>
      </c>
      <c r="I147" s="805">
        <v>33505.29</v>
      </c>
      <c r="J147" s="827">
        <f t="shared" si="50"/>
        <v>21069.309999999998</v>
      </c>
      <c r="K147" s="380">
        <v>2326.9899999999998</v>
      </c>
      <c r="L147" s="379">
        <v>18742.32</v>
      </c>
      <c r="M147" s="734"/>
      <c r="N147" s="338"/>
      <c r="O147" s="338"/>
      <c r="P147" s="338"/>
      <c r="Q147" s="343" t="str">
        <f t="shared" si="52"/>
        <v>2009</v>
      </c>
      <c r="R147" s="342">
        <f t="shared" si="53"/>
        <v>30045.75</v>
      </c>
      <c r="S147" s="341">
        <f t="shared" si="54"/>
        <v>33901.092499999999</v>
      </c>
      <c r="T147" s="341">
        <f t="shared" si="55"/>
        <v>21069.309999999998</v>
      </c>
      <c r="U147" s="391"/>
      <c r="V147" s="391"/>
      <c r="W147" s="391"/>
      <c r="X147" s="391"/>
      <c r="Y147" s="391"/>
      <c r="Z147" s="391"/>
      <c r="AA147" s="391"/>
      <c r="AB147" s="391"/>
      <c r="AC147" s="391"/>
      <c r="AD147" s="391"/>
      <c r="AE147" s="391"/>
    </row>
    <row r="148" spans="1:31" ht="17.399999999999999" customHeight="1" x14ac:dyDescent="0.2">
      <c r="A148" s="888"/>
      <c r="B148" s="614" t="s">
        <v>25</v>
      </c>
      <c r="C148" s="389" t="s">
        <v>293</v>
      </c>
      <c r="D148" s="824">
        <f t="shared" si="48"/>
        <v>25120</v>
      </c>
      <c r="E148" s="796">
        <v>116.1</v>
      </c>
      <c r="F148" s="797">
        <v>25003.9</v>
      </c>
      <c r="G148" s="827">
        <f t="shared" si="49"/>
        <v>22832</v>
      </c>
      <c r="H148" s="804">
        <v>67.08</v>
      </c>
      <c r="I148" s="805">
        <v>22764.92</v>
      </c>
      <c r="J148" s="827">
        <f t="shared" si="50"/>
        <v>17774</v>
      </c>
      <c r="K148" s="380">
        <v>1729</v>
      </c>
      <c r="L148" s="379">
        <v>16045</v>
      </c>
      <c r="M148" s="734"/>
      <c r="N148" s="338"/>
      <c r="O148" s="338"/>
      <c r="P148" s="338"/>
      <c r="Q148" s="343" t="str">
        <f t="shared" si="52"/>
        <v>2010</v>
      </c>
      <c r="R148" s="342">
        <f t="shared" si="53"/>
        <v>25120</v>
      </c>
      <c r="S148" s="341">
        <f t="shared" si="54"/>
        <v>22832</v>
      </c>
      <c r="T148" s="341">
        <f t="shared" si="55"/>
        <v>17774</v>
      </c>
      <c r="U148" s="391"/>
      <c r="V148" s="391"/>
      <c r="W148" s="391"/>
      <c r="X148" s="391"/>
      <c r="Y148" s="391"/>
      <c r="Z148" s="391"/>
      <c r="AA148" s="391"/>
      <c r="AB148" s="391"/>
      <c r="AC148" s="391"/>
      <c r="AD148" s="391"/>
      <c r="AE148" s="391"/>
    </row>
    <row r="149" spans="1:31" ht="17.399999999999999" customHeight="1" x14ac:dyDescent="0.2">
      <c r="A149" s="888"/>
      <c r="B149" s="614" t="s">
        <v>25</v>
      </c>
      <c r="C149" s="427" t="s">
        <v>294</v>
      </c>
      <c r="D149" s="834">
        <f t="shared" si="48"/>
        <v>27614</v>
      </c>
      <c r="E149" s="798">
        <v>4410</v>
      </c>
      <c r="F149" s="799">
        <v>23204</v>
      </c>
      <c r="G149" s="835">
        <f t="shared" si="49"/>
        <v>22445</v>
      </c>
      <c r="H149" s="806">
        <v>5019</v>
      </c>
      <c r="I149" s="807">
        <v>17426</v>
      </c>
      <c r="J149" s="835">
        <f t="shared" si="50"/>
        <v>30544</v>
      </c>
      <c r="K149" s="413">
        <v>2671</v>
      </c>
      <c r="L149" s="390">
        <v>27873</v>
      </c>
      <c r="M149" s="734"/>
      <c r="N149" s="338"/>
      <c r="O149" s="338"/>
      <c r="P149" s="338"/>
      <c r="Q149" s="343" t="str">
        <f t="shared" si="52"/>
        <v>2011</v>
      </c>
      <c r="R149" s="342">
        <f t="shared" si="53"/>
        <v>27614</v>
      </c>
      <c r="S149" s="341">
        <f t="shared" si="54"/>
        <v>22445</v>
      </c>
      <c r="T149" s="341">
        <f t="shared" si="55"/>
        <v>30544</v>
      </c>
      <c r="U149" s="391"/>
      <c r="V149" s="391"/>
      <c r="W149" s="391"/>
      <c r="X149" s="391"/>
      <c r="Y149" s="391"/>
      <c r="Z149" s="391"/>
      <c r="AA149" s="391"/>
      <c r="AB149" s="391"/>
      <c r="AC149" s="391"/>
      <c r="AD149" s="391"/>
      <c r="AE149" s="391"/>
    </row>
    <row r="150" spans="1:31" ht="17.399999999999999" customHeight="1" x14ac:dyDescent="0.2">
      <c r="A150" s="888"/>
      <c r="B150" s="614" t="s">
        <v>25</v>
      </c>
      <c r="C150" s="423" t="s">
        <v>295</v>
      </c>
      <c r="D150" s="834">
        <f t="shared" si="48"/>
        <v>0</v>
      </c>
      <c r="E150" s="798">
        <v>0</v>
      </c>
      <c r="F150" s="799">
        <v>0</v>
      </c>
      <c r="G150" s="835">
        <f t="shared" si="49"/>
        <v>0</v>
      </c>
      <c r="H150" s="806">
        <v>0</v>
      </c>
      <c r="I150" s="807">
        <v>0</v>
      </c>
      <c r="J150" s="835">
        <f t="shared" si="50"/>
        <v>29420.32</v>
      </c>
      <c r="K150" s="413">
        <v>96.32</v>
      </c>
      <c r="L150" s="390">
        <v>29324</v>
      </c>
      <c r="M150" s="734"/>
      <c r="N150" s="338"/>
      <c r="O150" s="338"/>
      <c r="P150" s="338"/>
      <c r="Q150" s="343" t="str">
        <f t="shared" si="52"/>
        <v>2012</v>
      </c>
      <c r="R150" s="342">
        <f t="shared" si="53"/>
        <v>0</v>
      </c>
      <c r="S150" s="341">
        <f t="shared" si="54"/>
        <v>0</v>
      </c>
      <c r="T150" s="341">
        <f t="shared" si="55"/>
        <v>29420.32</v>
      </c>
      <c r="U150" s="391"/>
      <c r="V150" s="391"/>
      <c r="W150" s="391"/>
      <c r="X150" s="391"/>
      <c r="Y150" s="391"/>
      <c r="Z150" s="391"/>
      <c r="AA150" s="391"/>
      <c r="AB150" s="391"/>
      <c r="AC150" s="391"/>
      <c r="AD150" s="391"/>
      <c r="AE150" s="391"/>
    </row>
    <row r="151" spans="1:31" ht="17.399999999999999" customHeight="1" x14ac:dyDescent="0.2">
      <c r="A151" s="888"/>
      <c r="B151" s="614" t="s">
        <v>25</v>
      </c>
      <c r="C151" s="423" t="s">
        <v>296</v>
      </c>
      <c r="D151" s="834">
        <f t="shared" si="48"/>
        <v>13956</v>
      </c>
      <c r="E151" s="798">
        <v>1839</v>
      </c>
      <c r="F151" s="799">
        <v>12117</v>
      </c>
      <c r="G151" s="835">
        <f t="shared" si="49"/>
        <v>11458</v>
      </c>
      <c r="H151" s="806">
        <v>1684</v>
      </c>
      <c r="I151" s="807">
        <v>9774</v>
      </c>
      <c r="J151" s="835">
        <f t="shared" si="50"/>
        <v>4514.2700000000004</v>
      </c>
      <c r="K151" s="413">
        <v>0</v>
      </c>
      <c r="L151" s="390">
        <v>4514.2700000000004</v>
      </c>
      <c r="M151" s="734"/>
      <c r="N151" s="338"/>
      <c r="O151" s="338"/>
      <c r="P151" s="338"/>
      <c r="Q151" s="343" t="str">
        <f t="shared" si="52"/>
        <v>2013</v>
      </c>
      <c r="R151" s="342">
        <f t="shared" si="53"/>
        <v>13956</v>
      </c>
      <c r="S151" s="341">
        <f t="shared" si="54"/>
        <v>11458</v>
      </c>
      <c r="T151" s="341">
        <f t="shared" si="55"/>
        <v>4514.2700000000004</v>
      </c>
      <c r="U151" s="391"/>
      <c r="V151" s="391"/>
      <c r="W151" s="391"/>
      <c r="X151" s="391"/>
      <c r="Y151" s="391"/>
      <c r="Z151" s="391"/>
      <c r="AA151" s="391"/>
      <c r="AB151" s="391"/>
      <c r="AC151" s="391"/>
      <c r="AD151" s="391"/>
      <c r="AE151" s="391"/>
    </row>
    <row r="152" spans="1:31" ht="17.399999999999999" customHeight="1" x14ac:dyDescent="0.2">
      <c r="A152" s="888"/>
      <c r="B152" s="614" t="s">
        <v>25</v>
      </c>
      <c r="C152" s="423" t="s">
        <v>297</v>
      </c>
      <c r="D152" s="834">
        <f t="shared" si="48"/>
        <v>10300</v>
      </c>
      <c r="E152" s="798">
        <v>760</v>
      </c>
      <c r="F152" s="799">
        <v>9540</v>
      </c>
      <c r="G152" s="835">
        <f t="shared" si="49"/>
        <v>6703</v>
      </c>
      <c r="H152" s="806">
        <v>0</v>
      </c>
      <c r="I152" s="807">
        <v>6703</v>
      </c>
      <c r="J152" s="835">
        <f t="shared" si="50"/>
        <v>6956.86</v>
      </c>
      <c r="K152" s="413">
        <v>0</v>
      </c>
      <c r="L152" s="390">
        <v>6956.86</v>
      </c>
      <c r="M152" s="734"/>
      <c r="N152" s="338"/>
      <c r="O152" s="338"/>
      <c r="P152" s="338"/>
      <c r="Q152" s="343" t="str">
        <f t="shared" si="52"/>
        <v>2014</v>
      </c>
      <c r="R152" s="342">
        <f t="shared" si="53"/>
        <v>10300</v>
      </c>
      <c r="S152" s="341">
        <f t="shared" si="54"/>
        <v>6703</v>
      </c>
      <c r="T152" s="341">
        <f t="shared" si="55"/>
        <v>6956.86</v>
      </c>
      <c r="U152" s="391"/>
      <c r="V152" s="391"/>
      <c r="W152" s="391"/>
      <c r="X152" s="391"/>
      <c r="Y152" s="391"/>
      <c r="Z152" s="391"/>
      <c r="AA152" s="391"/>
      <c r="AB152" s="391"/>
      <c r="AC152" s="391"/>
      <c r="AD152" s="391"/>
      <c r="AE152" s="391"/>
    </row>
    <row r="153" spans="1:31" ht="17.399999999999999" customHeight="1" x14ac:dyDescent="0.2">
      <c r="A153" s="888"/>
      <c r="B153" s="614" t="s">
        <v>25</v>
      </c>
      <c r="C153" s="423" t="s">
        <v>298</v>
      </c>
      <c r="D153" s="830">
        <f t="shared" si="48"/>
        <v>13000</v>
      </c>
      <c r="E153" s="800">
        <v>2600</v>
      </c>
      <c r="F153" s="801">
        <v>10400</v>
      </c>
      <c r="G153" s="831">
        <f t="shared" si="49"/>
        <v>1961</v>
      </c>
      <c r="H153" s="808">
        <v>0</v>
      </c>
      <c r="I153" s="809">
        <v>1961</v>
      </c>
      <c r="J153" s="831">
        <f t="shared" si="50"/>
        <v>8289.49</v>
      </c>
      <c r="K153" s="420">
        <v>35.46</v>
      </c>
      <c r="L153" s="419">
        <v>8254.0300000000007</v>
      </c>
      <c r="M153" s="735"/>
      <c r="N153" s="338"/>
      <c r="O153" s="338"/>
      <c r="P153" s="338"/>
      <c r="Q153" s="343" t="str">
        <f t="shared" si="52"/>
        <v>2015</v>
      </c>
      <c r="R153" s="342">
        <f t="shared" si="53"/>
        <v>13000</v>
      </c>
      <c r="S153" s="341">
        <f t="shared" si="54"/>
        <v>1961</v>
      </c>
      <c r="T153" s="341">
        <f t="shared" si="55"/>
        <v>8289.49</v>
      </c>
      <c r="U153" s="350"/>
      <c r="V153" s="350"/>
      <c r="W153" s="350"/>
      <c r="X153" s="350"/>
      <c r="Y153" s="350"/>
      <c r="Z153" s="350"/>
      <c r="AA153" s="350"/>
      <c r="AB153" s="350"/>
      <c r="AC153" s="350"/>
      <c r="AD153" s="350"/>
      <c r="AE153" s="350"/>
    </row>
    <row r="154" spans="1:31" ht="17.399999999999999" customHeight="1" thickBot="1" x14ac:dyDescent="0.25">
      <c r="A154" s="889"/>
      <c r="B154" s="614" t="s">
        <v>25</v>
      </c>
      <c r="C154" s="423" t="s">
        <v>438</v>
      </c>
      <c r="D154" s="832">
        <f t="shared" si="48"/>
        <v>11100</v>
      </c>
      <c r="E154" s="812">
        <v>990</v>
      </c>
      <c r="F154" s="813">
        <v>10110</v>
      </c>
      <c r="G154" s="833">
        <f t="shared" si="49"/>
        <v>0</v>
      </c>
      <c r="H154" s="814"/>
      <c r="I154" s="815"/>
      <c r="J154" s="833">
        <f t="shared" si="50"/>
        <v>0</v>
      </c>
      <c r="K154" s="418"/>
      <c r="L154" s="417"/>
      <c r="M154" s="735"/>
      <c r="N154" s="338"/>
      <c r="O154" s="338"/>
      <c r="P154" s="338"/>
      <c r="Q154" s="343" t="str">
        <f t="shared" si="52"/>
        <v>2016</v>
      </c>
      <c r="R154" s="342">
        <f t="shared" si="53"/>
        <v>11100</v>
      </c>
      <c r="S154" s="341">
        <f t="shared" si="54"/>
        <v>0</v>
      </c>
      <c r="T154" s="341">
        <f t="shared" si="55"/>
        <v>0</v>
      </c>
      <c r="U154" s="350"/>
      <c r="V154" s="350"/>
      <c r="W154" s="350"/>
      <c r="X154" s="350"/>
      <c r="Y154" s="350"/>
      <c r="Z154" s="350"/>
      <c r="AA154" s="350"/>
      <c r="AB154" s="350"/>
      <c r="AC154" s="350"/>
      <c r="AD154" s="350"/>
      <c r="AE154" s="350"/>
    </row>
    <row r="155" spans="1:31" ht="56.25" customHeight="1" thickBot="1" x14ac:dyDescent="0.25">
      <c r="A155" s="887" t="s">
        <v>396</v>
      </c>
      <c r="B155" s="609" t="s">
        <v>204</v>
      </c>
      <c r="C155" s="412" t="s">
        <v>384</v>
      </c>
      <c r="D155" s="411" t="s">
        <v>383</v>
      </c>
      <c r="E155" s="410" t="s">
        <v>390</v>
      </c>
      <c r="F155" s="409" t="s">
        <v>389</v>
      </c>
      <c r="G155" s="838" t="s">
        <v>382</v>
      </c>
      <c r="H155" s="839" t="s">
        <v>388</v>
      </c>
      <c r="I155" s="840" t="s">
        <v>387</v>
      </c>
      <c r="J155" s="408" t="s">
        <v>381</v>
      </c>
      <c r="K155" s="407" t="s">
        <v>393</v>
      </c>
      <c r="L155" s="406" t="s">
        <v>392</v>
      </c>
      <c r="Q155" s="349" t="s">
        <v>384</v>
      </c>
      <c r="R155" s="348" t="s">
        <v>383</v>
      </c>
      <c r="S155" s="347" t="s">
        <v>382</v>
      </c>
      <c r="T155" s="346" t="s">
        <v>381</v>
      </c>
    </row>
    <row r="156" spans="1:31" ht="15" hidden="1" customHeight="1" outlineLevel="1" x14ac:dyDescent="0.2">
      <c r="A156" s="888"/>
      <c r="B156" s="614" t="s">
        <v>26</v>
      </c>
      <c r="C156" s="435" t="s">
        <v>434</v>
      </c>
      <c r="D156" s="405">
        <f t="shared" ref="D156:D176" si="56">SUM(E156+F156)</f>
        <v>0</v>
      </c>
      <c r="E156" s="404">
        <v>0</v>
      </c>
      <c r="F156" s="403">
        <v>0</v>
      </c>
      <c r="G156" s="402">
        <f>SUM(H156+I156)</f>
        <v>3198</v>
      </c>
      <c r="H156" s="401">
        <v>3198</v>
      </c>
      <c r="I156" s="400">
        <v>0</v>
      </c>
      <c r="J156" s="402">
        <f t="shared" ref="J156:J176" si="57">SUM(K156:L156)</f>
        <v>224.6</v>
      </c>
      <c r="K156" s="401">
        <v>206.53</v>
      </c>
      <c r="L156" s="400">
        <v>18.07</v>
      </c>
      <c r="M156" s="734">
        <f t="shared" ref="M156:M164" si="58">SUM(K156:L156)</f>
        <v>224.6</v>
      </c>
      <c r="N156" s="338"/>
      <c r="O156" s="338"/>
      <c r="P156" s="338"/>
      <c r="Q156" s="345" t="str">
        <f t="shared" ref="Q156:Q176" si="59">+C156</f>
        <v>1996</v>
      </c>
      <c r="R156" s="342">
        <f t="shared" ref="R156:R176" si="60">+D156</f>
        <v>0</v>
      </c>
      <c r="S156" s="341">
        <f t="shared" ref="S156:S176" si="61">+G156</f>
        <v>3198</v>
      </c>
      <c r="T156" s="341">
        <f t="shared" ref="T156:T176" si="62">+J156</f>
        <v>224.6</v>
      </c>
      <c r="U156" s="391"/>
      <c r="V156" s="391"/>
      <c r="W156" s="391"/>
      <c r="X156" s="391"/>
      <c r="Y156" s="391"/>
      <c r="Z156" s="391"/>
      <c r="AA156" s="391"/>
      <c r="AB156" s="391"/>
      <c r="AC156" s="391"/>
      <c r="AD156" s="391"/>
      <c r="AE156" s="391"/>
    </row>
    <row r="157" spans="1:31" ht="15" hidden="1" customHeight="1" outlineLevel="1" x14ac:dyDescent="0.2">
      <c r="A157" s="888"/>
      <c r="B157" s="614" t="s">
        <v>26</v>
      </c>
      <c r="C157" s="399" t="s">
        <v>435</v>
      </c>
      <c r="D157" s="398">
        <f t="shared" si="56"/>
        <v>4501</v>
      </c>
      <c r="E157" s="397">
        <v>4000</v>
      </c>
      <c r="F157" s="396">
        <v>501</v>
      </c>
      <c r="G157" s="395">
        <f>SUM(H157+I157)</f>
        <v>1821</v>
      </c>
      <c r="H157" s="394">
        <v>1821</v>
      </c>
      <c r="I157" s="393">
        <v>0</v>
      </c>
      <c r="J157" s="395">
        <f t="shared" si="57"/>
        <v>119.01</v>
      </c>
      <c r="K157" s="394">
        <v>119.01</v>
      </c>
      <c r="L157" s="393">
        <v>0</v>
      </c>
      <c r="M157" s="734">
        <f t="shared" si="58"/>
        <v>119.01</v>
      </c>
      <c r="N157" s="338"/>
      <c r="O157" s="338"/>
      <c r="P157" s="338"/>
      <c r="Q157" s="345" t="str">
        <f t="shared" si="59"/>
        <v>1997</v>
      </c>
      <c r="R157" s="342">
        <f t="shared" si="60"/>
        <v>4501</v>
      </c>
      <c r="S157" s="341">
        <f t="shared" si="61"/>
        <v>1821</v>
      </c>
      <c r="T157" s="341">
        <f t="shared" si="62"/>
        <v>119.01</v>
      </c>
      <c r="U157" s="391"/>
      <c r="V157" s="391"/>
      <c r="W157" s="391"/>
      <c r="X157" s="391"/>
      <c r="Y157" s="391"/>
      <c r="Z157" s="391"/>
      <c r="AA157" s="391"/>
      <c r="AB157" s="391"/>
      <c r="AC157" s="391"/>
      <c r="AD157" s="391"/>
      <c r="AE157" s="391"/>
    </row>
    <row r="158" spans="1:31" ht="15" hidden="1" customHeight="1" outlineLevel="1" x14ac:dyDescent="0.2">
      <c r="A158" s="888"/>
      <c r="B158" s="614" t="s">
        <v>26</v>
      </c>
      <c r="C158" s="399" t="s">
        <v>436</v>
      </c>
      <c r="D158" s="398">
        <f t="shared" si="56"/>
        <v>830</v>
      </c>
      <c r="E158" s="397">
        <v>830</v>
      </c>
      <c r="F158" s="396">
        <v>0</v>
      </c>
      <c r="G158" s="395">
        <f>SUM(H158:I158)</f>
        <v>3244</v>
      </c>
      <c r="H158" s="394">
        <v>2803</v>
      </c>
      <c r="I158" s="393">
        <v>441</v>
      </c>
      <c r="J158" s="395">
        <f t="shared" si="57"/>
        <v>1128.6300000000001</v>
      </c>
      <c r="K158" s="394">
        <v>1128.6300000000001</v>
      </c>
      <c r="L158" s="393">
        <v>0</v>
      </c>
      <c r="M158" s="734">
        <f t="shared" si="58"/>
        <v>1128.6300000000001</v>
      </c>
      <c r="N158" s="338"/>
      <c r="O158" s="338"/>
      <c r="P158" s="338"/>
      <c r="Q158" s="345" t="str">
        <f t="shared" si="59"/>
        <v>1998</v>
      </c>
      <c r="R158" s="342">
        <f t="shared" si="60"/>
        <v>830</v>
      </c>
      <c r="S158" s="341">
        <f t="shared" si="61"/>
        <v>3244</v>
      </c>
      <c r="T158" s="341">
        <f t="shared" si="62"/>
        <v>1128.6300000000001</v>
      </c>
      <c r="U158" s="391"/>
      <c r="V158" s="391"/>
      <c r="W158" s="391"/>
      <c r="X158" s="391"/>
      <c r="Y158" s="391"/>
      <c r="Z158" s="391"/>
      <c r="AA158" s="391"/>
      <c r="AB158" s="391"/>
      <c r="AC158" s="391"/>
      <c r="AD158" s="391"/>
      <c r="AE158" s="391"/>
    </row>
    <row r="159" spans="1:31" ht="15" hidden="1" customHeight="1" outlineLevel="1" x14ac:dyDescent="0.2">
      <c r="A159" s="888"/>
      <c r="B159" s="614" t="s">
        <v>26</v>
      </c>
      <c r="C159" s="389" t="s">
        <v>437</v>
      </c>
      <c r="D159" s="388">
        <f t="shared" si="56"/>
        <v>1630</v>
      </c>
      <c r="E159" s="386">
        <v>1630</v>
      </c>
      <c r="F159" s="381">
        <v>0</v>
      </c>
      <c r="G159" s="383">
        <f t="shared" ref="G159:G176" si="63">SUM(H159+I159)</f>
        <v>1745</v>
      </c>
      <c r="H159" s="384">
        <v>1745</v>
      </c>
      <c r="I159" s="392">
        <v>0</v>
      </c>
      <c r="J159" s="383">
        <f t="shared" si="57"/>
        <v>3845.29</v>
      </c>
      <c r="K159" s="384">
        <v>3697.94</v>
      </c>
      <c r="L159" s="392">
        <v>147.35</v>
      </c>
      <c r="M159" s="734">
        <f t="shared" si="58"/>
        <v>3845.29</v>
      </c>
      <c r="N159" s="338"/>
      <c r="O159" s="338"/>
      <c r="P159" s="338"/>
      <c r="Q159" s="345" t="str">
        <f t="shared" si="59"/>
        <v>1999</v>
      </c>
      <c r="R159" s="342">
        <f t="shared" si="60"/>
        <v>1630</v>
      </c>
      <c r="S159" s="341">
        <f t="shared" si="61"/>
        <v>1745</v>
      </c>
      <c r="T159" s="341">
        <f t="shared" si="62"/>
        <v>3845.29</v>
      </c>
      <c r="U159" s="391"/>
      <c r="V159" s="391"/>
      <c r="W159" s="391"/>
      <c r="X159" s="391"/>
      <c r="Y159" s="391"/>
      <c r="Z159" s="391"/>
      <c r="AA159" s="391"/>
      <c r="AB159" s="391"/>
      <c r="AC159" s="391"/>
      <c r="AD159" s="391"/>
      <c r="AE159" s="391"/>
    </row>
    <row r="160" spans="1:31" ht="17.399999999999999" hidden="1" customHeight="1" outlineLevel="1" x14ac:dyDescent="0.2">
      <c r="A160" s="888"/>
      <c r="B160" s="614" t="s">
        <v>26</v>
      </c>
      <c r="C160" s="428" t="s">
        <v>283</v>
      </c>
      <c r="D160" s="388">
        <f t="shared" si="56"/>
        <v>7349</v>
      </c>
      <c r="E160" s="384">
        <v>5822</v>
      </c>
      <c r="F160" s="392">
        <v>1527</v>
      </c>
      <c r="G160" s="383">
        <f t="shared" si="63"/>
        <v>4308</v>
      </c>
      <c r="H160" s="384">
        <v>2835</v>
      </c>
      <c r="I160" s="392">
        <v>1473</v>
      </c>
      <c r="J160" s="383">
        <f t="shared" si="57"/>
        <v>1280.55</v>
      </c>
      <c r="K160" s="380">
        <v>1246.44</v>
      </c>
      <c r="L160" s="379">
        <v>34.11</v>
      </c>
      <c r="M160" s="734">
        <f t="shared" si="58"/>
        <v>1280.55</v>
      </c>
      <c r="N160" s="338"/>
      <c r="O160" s="338"/>
      <c r="P160" s="338"/>
      <c r="Q160" s="345" t="str">
        <f t="shared" si="59"/>
        <v>2000</v>
      </c>
      <c r="R160" s="342">
        <f t="shared" si="60"/>
        <v>7349</v>
      </c>
      <c r="S160" s="341">
        <f t="shared" si="61"/>
        <v>4308</v>
      </c>
      <c r="T160" s="341">
        <f t="shared" si="62"/>
        <v>1280.55</v>
      </c>
      <c r="U160" s="391"/>
      <c r="V160" s="391"/>
      <c r="W160" s="391"/>
      <c r="X160" s="391"/>
      <c r="Y160" s="391"/>
      <c r="Z160" s="391"/>
      <c r="AA160" s="391"/>
      <c r="AB160" s="391"/>
      <c r="AC160" s="391"/>
      <c r="AD160" s="391"/>
      <c r="AE160" s="391"/>
    </row>
    <row r="161" spans="1:31" ht="17.399999999999999" hidden="1" customHeight="1" outlineLevel="1" x14ac:dyDescent="0.2">
      <c r="A161" s="888"/>
      <c r="B161" s="614" t="s">
        <v>26</v>
      </c>
      <c r="C161" s="389" t="s">
        <v>284</v>
      </c>
      <c r="D161" s="388">
        <f t="shared" si="56"/>
        <v>0</v>
      </c>
      <c r="E161" s="384">
        <v>0</v>
      </c>
      <c r="F161" s="392">
        <v>0</v>
      </c>
      <c r="G161" s="383">
        <f t="shared" si="63"/>
        <v>4191</v>
      </c>
      <c r="H161" s="384">
        <v>3238</v>
      </c>
      <c r="I161" s="392">
        <v>953</v>
      </c>
      <c r="J161" s="383">
        <f t="shared" si="57"/>
        <v>1538</v>
      </c>
      <c r="K161" s="380">
        <v>1403.95</v>
      </c>
      <c r="L161" s="379">
        <v>134.05000000000001</v>
      </c>
      <c r="M161" s="734">
        <f t="shared" si="58"/>
        <v>1538</v>
      </c>
      <c r="N161" s="338"/>
      <c r="O161" s="338"/>
      <c r="P161" s="338"/>
      <c r="Q161" s="343" t="str">
        <f t="shared" si="59"/>
        <v>2001</v>
      </c>
      <c r="R161" s="342">
        <f t="shared" si="60"/>
        <v>0</v>
      </c>
      <c r="S161" s="341">
        <f t="shared" si="61"/>
        <v>4191</v>
      </c>
      <c r="T161" s="341">
        <f t="shared" si="62"/>
        <v>1538</v>
      </c>
      <c r="U161" s="391"/>
      <c r="V161" s="391"/>
      <c r="W161" s="391"/>
      <c r="X161" s="391"/>
      <c r="Y161" s="391"/>
      <c r="Z161" s="391"/>
      <c r="AA161" s="391"/>
      <c r="AB161" s="391"/>
      <c r="AC161" s="391"/>
      <c r="AD161" s="391"/>
      <c r="AE161" s="391"/>
    </row>
    <row r="162" spans="1:31" ht="17.399999999999999" hidden="1" customHeight="1" outlineLevel="1" x14ac:dyDescent="0.2">
      <c r="A162" s="888"/>
      <c r="B162" s="614" t="s">
        <v>26</v>
      </c>
      <c r="C162" s="389" t="s">
        <v>285</v>
      </c>
      <c r="D162" s="388">
        <f t="shared" si="56"/>
        <v>0</v>
      </c>
      <c r="E162" s="384">
        <v>0</v>
      </c>
      <c r="F162" s="392">
        <v>0</v>
      </c>
      <c r="G162" s="383">
        <f t="shared" si="63"/>
        <v>0</v>
      </c>
      <c r="H162" s="384">
        <v>0</v>
      </c>
      <c r="I162" s="392">
        <v>0</v>
      </c>
      <c r="J162" s="383">
        <f t="shared" si="57"/>
        <v>3138.94</v>
      </c>
      <c r="K162" s="380">
        <v>2344.5700000000002</v>
      </c>
      <c r="L162" s="379">
        <v>794.37</v>
      </c>
      <c r="M162" s="734">
        <f t="shared" si="58"/>
        <v>3138.94</v>
      </c>
      <c r="N162" s="338"/>
      <c r="O162" s="338"/>
      <c r="P162" s="338"/>
      <c r="Q162" s="343" t="str">
        <f t="shared" si="59"/>
        <v>2002</v>
      </c>
      <c r="R162" s="342">
        <f t="shared" si="60"/>
        <v>0</v>
      </c>
      <c r="S162" s="341">
        <f t="shared" si="61"/>
        <v>0</v>
      </c>
      <c r="T162" s="341">
        <f t="shared" si="62"/>
        <v>3138.94</v>
      </c>
      <c r="U162" s="391"/>
      <c r="V162" s="391"/>
      <c r="W162" s="391"/>
      <c r="X162" s="391"/>
      <c r="Y162" s="391"/>
      <c r="Z162" s="391"/>
      <c r="AA162" s="391"/>
      <c r="AB162" s="391"/>
      <c r="AC162" s="391"/>
      <c r="AD162" s="391"/>
      <c r="AE162" s="391"/>
    </row>
    <row r="163" spans="1:31" ht="17.399999999999999" hidden="1" customHeight="1" outlineLevel="1" x14ac:dyDescent="0.2">
      <c r="A163" s="888"/>
      <c r="B163" s="614" t="s">
        <v>26</v>
      </c>
      <c r="C163" s="389" t="s">
        <v>286</v>
      </c>
      <c r="D163" s="388">
        <f t="shared" si="56"/>
        <v>320</v>
      </c>
      <c r="E163" s="384">
        <v>0</v>
      </c>
      <c r="F163" s="392">
        <v>320</v>
      </c>
      <c r="G163" s="383">
        <f t="shared" si="63"/>
        <v>0</v>
      </c>
      <c r="H163" s="384">
        <v>0</v>
      </c>
      <c r="I163" s="392">
        <v>0</v>
      </c>
      <c r="J163" s="383">
        <f t="shared" si="57"/>
        <v>2001.63</v>
      </c>
      <c r="K163" s="380">
        <v>1800.66</v>
      </c>
      <c r="L163" s="379">
        <v>200.97</v>
      </c>
      <c r="M163" s="734">
        <f t="shared" si="58"/>
        <v>2001.63</v>
      </c>
      <c r="N163" s="338"/>
      <c r="O163" s="338"/>
      <c r="P163" s="338"/>
      <c r="Q163" s="343" t="str">
        <f t="shared" si="59"/>
        <v>2003</v>
      </c>
      <c r="R163" s="342">
        <f t="shared" si="60"/>
        <v>320</v>
      </c>
      <c r="S163" s="341">
        <f t="shared" si="61"/>
        <v>0</v>
      </c>
      <c r="T163" s="341">
        <f t="shared" si="62"/>
        <v>2001.63</v>
      </c>
      <c r="U163" s="391"/>
      <c r="V163" s="391"/>
      <c r="W163" s="391"/>
      <c r="X163" s="391"/>
      <c r="Y163" s="391"/>
      <c r="Z163" s="391"/>
      <c r="AA163" s="391"/>
      <c r="AB163" s="391"/>
      <c r="AC163" s="391"/>
      <c r="AD163" s="391"/>
      <c r="AE163" s="391"/>
    </row>
    <row r="164" spans="1:31" ht="17.399999999999999" hidden="1" customHeight="1" outlineLevel="1" x14ac:dyDescent="0.2">
      <c r="A164" s="888"/>
      <c r="B164" s="614" t="s">
        <v>26</v>
      </c>
      <c r="C164" s="389" t="s">
        <v>287</v>
      </c>
      <c r="D164" s="388">
        <f t="shared" si="56"/>
        <v>2190</v>
      </c>
      <c r="E164" s="384">
        <v>1190</v>
      </c>
      <c r="F164" s="392">
        <v>1000</v>
      </c>
      <c r="G164" s="383">
        <f t="shared" si="63"/>
        <v>960</v>
      </c>
      <c r="H164" s="384">
        <v>0</v>
      </c>
      <c r="I164" s="392">
        <v>960</v>
      </c>
      <c r="J164" s="383">
        <f t="shared" si="57"/>
        <v>1246.98</v>
      </c>
      <c r="K164" s="380">
        <v>0</v>
      </c>
      <c r="L164" s="379">
        <v>1246.98</v>
      </c>
      <c r="M164" s="734">
        <f t="shared" si="58"/>
        <v>1246.98</v>
      </c>
      <c r="N164" s="338"/>
      <c r="O164" s="338"/>
      <c r="P164" s="338"/>
      <c r="Q164" s="343" t="str">
        <f t="shared" si="59"/>
        <v>2004</v>
      </c>
      <c r="R164" s="342">
        <f t="shared" si="60"/>
        <v>2190</v>
      </c>
      <c r="S164" s="341">
        <f t="shared" si="61"/>
        <v>960</v>
      </c>
      <c r="T164" s="341">
        <f t="shared" si="62"/>
        <v>1246.98</v>
      </c>
      <c r="U164" s="391"/>
      <c r="V164" s="391"/>
      <c r="W164" s="391"/>
      <c r="X164" s="391"/>
      <c r="Y164" s="391"/>
      <c r="Z164" s="391"/>
      <c r="AA164" s="391"/>
      <c r="AB164" s="391"/>
      <c r="AC164" s="391"/>
      <c r="AD164" s="391"/>
      <c r="AE164" s="391"/>
    </row>
    <row r="165" spans="1:31" ht="17.399999999999999" hidden="1" customHeight="1" outlineLevel="1" x14ac:dyDescent="0.2">
      <c r="A165" s="888"/>
      <c r="B165" s="614" t="s">
        <v>26</v>
      </c>
      <c r="C165" s="389" t="s">
        <v>288</v>
      </c>
      <c r="D165" s="388">
        <f t="shared" si="56"/>
        <v>500</v>
      </c>
      <c r="E165" s="384">
        <v>0</v>
      </c>
      <c r="F165" s="392">
        <v>500</v>
      </c>
      <c r="G165" s="383">
        <f t="shared" si="63"/>
        <v>1039</v>
      </c>
      <c r="H165" s="384">
        <v>1039</v>
      </c>
      <c r="I165" s="392">
        <v>0</v>
      </c>
      <c r="J165" s="383">
        <f t="shared" si="57"/>
        <v>1396.31</v>
      </c>
      <c r="K165" s="380">
        <v>0</v>
      </c>
      <c r="L165" s="379">
        <v>1396.31</v>
      </c>
      <c r="M165" s="734"/>
      <c r="N165" s="338"/>
      <c r="O165" s="338"/>
      <c r="P165" s="338"/>
      <c r="Q165" s="343" t="str">
        <f t="shared" si="59"/>
        <v>2005</v>
      </c>
      <c r="R165" s="342">
        <f t="shared" si="60"/>
        <v>500</v>
      </c>
      <c r="S165" s="341">
        <f t="shared" si="61"/>
        <v>1039</v>
      </c>
      <c r="T165" s="341">
        <f t="shared" si="62"/>
        <v>1396.31</v>
      </c>
      <c r="U165" s="391"/>
      <c r="V165" s="391"/>
      <c r="W165" s="391"/>
      <c r="X165" s="391"/>
      <c r="Y165" s="391"/>
      <c r="Z165" s="391"/>
      <c r="AA165" s="391"/>
      <c r="AB165" s="391"/>
      <c r="AC165" s="391"/>
      <c r="AD165" s="391"/>
      <c r="AE165" s="391"/>
    </row>
    <row r="166" spans="1:31" ht="17.399999999999999" customHeight="1" collapsed="1" x14ac:dyDescent="0.2">
      <c r="A166" s="888"/>
      <c r="B166" s="614" t="s">
        <v>26</v>
      </c>
      <c r="C166" s="389" t="s">
        <v>289</v>
      </c>
      <c r="D166" s="824">
        <f t="shared" si="56"/>
        <v>4305</v>
      </c>
      <c r="E166" s="796">
        <v>4305</v>
      </c>
      <c r="F166" s="797">
        <v>0</v>
      </c>
      <c r="G166" s="827">
        <f t="shared" si="63"/>
        <v>1406</v>
      </c>
      <c r="H166" s="804">
        <v>959</v>
      </c>
      <c r="I166" s="805">
        <v>447</v>
      </c>
      <c r="J166" s="827">
        <f t="shared" si="57"/>
        <v>1243.33</v>
      </c>
      <c r="K166" s="380">
        <v>1243.33</v>
      </c>
      <c r="L166" s="379">
        <v>0</v>
      </c>
      <c r="M166" s="734"/>
      <c r="N166" s="338"/>
      <c r="O166" s="338"/>
      <c r="P166" s="338"/>
      <c r="Q166" s="343" t="str">
        <f t="shared" si="59"/>
        <v>2006</v>
      </c>
      <c r="R166" s="342">
        <f t="shared" si="60"/>
        <v>4305</v>
      </c>
      <c r="S166" s="341">
        <f t="shared" si="61"/>
        <v>1406</v>
      </c>
      <c r="T166" s="341">
        <f t="shared" si="62"/>
        <v>1243.33</v>
      </c>
      <c r="U166" s="391"/>
      <c r="V166" s="391"/>
      <c r="W166" s="391"/>
      <c r="X166" s="391"/>
      <c r="Y166" s="391"/>
      <c r="Z166" s="391"/>
      <c r="AA166" s="391"/>
      <c r="AB166" s="391"/>
      <c r="AC166" s="391"/>
      <c r="AD166" s="391"/>
      <c r="AE166" s="391"/>
    </row>
    <row r="167" spans="1:31" ht="17.399999999999999" customHeight="1" x14ac:dyDescent="0.2">
      <c r="A167" s="888"/>
      <c r="B167" s="614" t="s">
        <v>26</v>
      </c>
      <c r="C167" s="389" t="s">
        <v>290</v>
      </c>
      <c r="D167" s="824">
        <f t="shared" si="56"/>
        <v>1071</v>
      </c>
      <c r="E167" s="796">
        <v>1071</v>
      </c>
      <c r="F167" s="797">
        <v>0</v>
      </c>
      <c r="G167" s="827">
        <f t="shared" si="63"/>
        <v>2020</v>
      </c>
      <c r="H167" s="804">
        <v>2020</v>
      </c>
      <c r="I167" s="805">
        <v>0</v>
      </c>
      <c r="J167" s="827">
        <f t="shared" si="57"/>
        <v>1847.69</v>
      </c>
      <c r="K167" s="380">
        <v>1236.32</v>
      </c>
      <c r="L167" s="379">
        <v>611.37</v>
      </c>
      <c r="M167" s="734"/>
      <c r="N167" s="338"/>
      <c r="O167" s="338"/>
      <c r="P167" s="338"/>
      <c r="Q167" s="343" t="str">
        <f t="shared" si="59"/>
        <v>2007</v>
      </c>
      <c r="R167" s="342">
        <f t="shared" si="60"/>
        <v>1071</v>
      </c>
      <c r="S167" s="341">
        <f t="shared" si="61"/>
        <v>2020</v>
      </c>
      <c r="T167" s="341">
        <f t="shared" si="62"/>
        <v>1847.69</v>
      </c>
      <c r="U167" s="391"/>
      <c r="V167" s="391"/>
      <c r="W167" s="391"/>
      <c r="X167" s="391"/>
      <c r="Y167" s="391"/>
      <c r="Z167" s="391"/>
      <c r="AA167" s="391"/>
      <c r="AB167" s="391"/>
      <c r="AC167" s="391"/>
      <c r="AD167" s="391"/>
      <c r="AE167" s="391"/>
    </row>
    <row r="168" spans="1:31" ht="17.399999999999999" customHeight="1" x14ac:dyDescent="0.2">
      <c r="A168" s="888"/>
      <c r="B168" s="614" t="s">
        <v>26</v>
      </c>
      <c r="C168" s="389" t="s">
        <v>291</v>
      </c>
      <c r="D168" s="824">
        <f t="shared" si="56"/>
        <v>1800</v>
      </c>
      <c r="E168" s="796">
        <v>1800</v>
      </c>
      <c r="F168" s="797">
        <v>0</v>
      </c>
      <c r="G168" s="827">
        <f t="shared" si="63"/>
        <v>3117</v>
      </c>
      <c r="H168" s="804">
        <v>3117</v>
      </c>
      <c r="I168" s="805">
        <v>0</v>
      </c>
      <c r="J168" s="827">
        <f t="shared" si="57"/>
        <v>770</v>
      </c>
      <c r="K168" s="380">
        <v>740</v>
      </c>
      <c r="L168" s="379">
        <v>30</v>
      </c>
      <c r="M168" s="734"/>
      <c r="N168" s="338"/>
      <c r="O168" s="338"/>
      <c r="P168" s="338"/>
      <c r="Q168" s="343" t="str">
        <f t="shared" si="59"/>
        <v>2008</v>
      </c>
      <c r="R168" s="342">
        <f t="shared" si="60"/>
        <v>1800</v>
      </c>
      <c r="S168" s="341">
        <f t="shared" si="61"/>
        <v>3117</v>
      </c>
      <c r="T168" s="341">
        <f t="shared" si="62"/>
        <v>770</v>
      </c>
      <c r="U168" s="391"/>
      <c r="V168" s="391"/>
      <c r="W168" s="391"/>
      <c r="X168" s="391"/>
      <c r="Y168" s="391"/>
      <c r="Z168" s="391"/>
      <c r="AA168" s="391"/>
      <c r="AB168" s="391"/>
      <c r="AC168" s="391"/>
      <c r="AD168" s="391"/>
      <c r="AE168" s="391"/>
    </row>
    <row r="169" spans="1:31" ht="17.399999999999999" customHeight="1" x14ac:dyDescent="0.2">
      <c r="A169" s="888"/>
      <c r="B169" s="614" t="s">
        <v>26</v>
      </c>
      <c r="C169" s="389" t="s">
        <v>292</v>
      </c>
      <c r="D169" s="824">
        <f t="shared" si="56"/>
        <v>1265</v>
      </c>
      <c r="E169" s="796">
        <v>1265</v>
      </c>
      <c r="F169" s="797">
        <v>0</v>
      </c>
      <c r="G169" s="827">
        <f t="shared" si="63"/>
        <v>1663</v>
      </c>
      <c r="H169" s="804">
        <v>1663</v>
      </c>
      <c r="I169" s="805">
        <v>0</v>
      </c>
      <c r="J169" s="827">
        <f t="shared" si="57"/>
        <v>2631.95</v>
      </c>
      <c r="K169" s="380">
        <v>2631.95</v>
      </c>
      <c r="L169" s="379">
        <v>0</v>
      </c>
      <c r="M169" s="734"/>
      <c r="N169" s="338"/>
      <c r="O169" s="338"/>
      <c r="P169" s="338"/>
      <c r="Q169" s="343" t="str">
        <f t="shared" si="59"/>
        <v>2009</v>
      </c>
      <c r="R169" s="342">
        <f t="shared" si="60"/>
        <v>1265</v>
      </c>
      <c r="S169" s="341">
        <f t="shared" si="61"/>
        <v>1663</v>
      </c>
      <c r="T169" s="341">
        <f t="shared" si="62"/>
        <v>2631.95</v>
      </c>
      <c r="U169" s="391"/>
      <c r="V169" s="391"/>
      <c r="W169" s="391"/>
      <c r="X169" s="391"/>
      <c r="Y169" s="391"/>
      <c r="Z169" s="391"/>
      <c r="AA169" s="391"/>
      <c r="AB169" s="391"/>
      <c r="AC169" s="391"/>
      <c r="AD169" s="391"/>
      <c r="AE169" s="391"/>
    </row>
    <row r="170" spans="1:31" ht="17.399999999999999" customHeight="1" x14ac:dyDescent="0.2">
      <c r="A170" s="888"/>
      <c r="B170" s="614" t="s">
        <v>26</v>
      </c>
      <c r="C170" s="389" t="s">
        <v>293</v>
      </c>
      <c r="D170" s="824">
        <f t="shared" si="56"/>
        <v>3200</v>
      </c>
      <c r="E170" s="796">
        <v>500</v>
      </c>
      <c r="F170" s="797">
        <v>2700</v>
      </c>
      <c r="G170" s="827">
        <f t="shared" si="63"/>
        <v>2249</v>
      </c>
      <c r="H170" s="804">
        <v>547</v>
      </c>
      <c r="I170" s="805">
        <v>1702</v>
      </c>
      <c r="J170" s="827">
        <f t="shared" si="57"/>
        <v>1695</v>
      </c>
      <c r="K170" s="380">
        <v>1695</v>
      </c>
      <c r="L170" s="379">
        <v>0</v>
      </c>
      <c r="M170" s="734"/>
      <c r="N170" s="338"/>
      <c r="O170" s="338"/>
      <c r="P170" s="338"/>
      <c r="Q170" s="343" t="str">
        <f t="shared" si="59"/>
        <v>2010</v>
      </c>
      <c r="R170" s="342">
        <f t="shared" si="60"/>
        <v>3200</v>
      </c>
      <c r="S170" s="341">
        <f t="shared" si="61"/>
        <v>2249</v>
      </c>
      <c r="T170" s="341">
        <f t="shared" si="62"/>
        <v>1695</v>
      </c>
      <c r="U170" s="391"/>
      <c r="V170" s="391"/>
      <c r="W170" s="391"/>
      <c r="X170" s="391"/>
      <c r="Y170" s="391"/>
      <c r="Z170" s="391"/>
      <c r="AA170" s="391"/>
      <c r="AB170" s="391"/>
      <c r="AC170" s="391"/>
      <c r="AD170" s="391"/>
      <c r="AE170" s="391"/>
    </row>
    <row r="171" spans="1:31" ht="17.399999999999999" customHeight="1" x14ac:dyDescent="0.2">
      <c r="A171" s="888"/>
      <c r="B171" s="614" t="s">
        <v>26</v>
      </c>
      <c r="C171" s="427" t="s">
        <v>294</v>
      </c>
      <c r="D171" s="834">
        <f t="shared" si="56"/>
        <v>1585</v>
      </c>
      <c r="E171" s="798">
        <v>925</v>
      </c>
      <c r="F171" s="799">
        <v>660</v>
      </c>
      <c r="G171" s="835">
        <f t="shared" si="63"/>
        <v>2326</v>
      </c>
      <c r="H171" s="806">
        <v>1337</v>
      </c>
      <c r="I171" s="807">
        <v>989</v>
      </c>
      <c r="J171" s="835">
        <f t="shared" si="57"/>
        <v>1250</v>
      </c>
      <c r="K171" s="413">
        <v>1250</v>
      </c>
      <c r="L171" s="390">
        <v>0</v>
      </c>
      <c r="M171" s="734"/>
      <c r="N171" s="338"/>
      <c r="O171" s="338"/>
      <c r="P171" s="338"/>
      <c r="Q171" s="343" t="str">
        <f t="shared" si="59"/>
        <v>2011</v>
      </c>
      <c r="R171" s="342">
        <f t="shared" si="60"/>
        <v>1585</v>
      </c>
      <c r="S171" s="341">
        <f t="shared" si="61"/>
        <v>2326</v>
      </c>
      <c r="T171" s="341">
        <f t="shared" si="62"/>
        <v>1250</v>
      </c>
      <c r="U171" s="391"/>
      <c r="V171" s="391"/>
      <c r="W171" s="391"/>
      <c r="X171" s="391"/>
      <c r="Y171" s="391"/>
      <c r="Z171" s="391"/>
      <c r="AA171" s="391"/>
      <c r="AB171" s="391"/>
      <c r="AC171" s="391"/>
      <c r="AD171" s="391"/>
      <c r="AE171" s="391"/>
    </row>
    <row r="172" spans="1:31" ht="17.399999999999999" customHeight="1" x14ac:dyDescent="0.2">
      <c r="A172" s="888"/>
      <c r="B172" s="614" t="s">
        <v>26</v>
      </c>
      <c r="C172" s="423" t="s">
        <v>295</v>
      </c>
      <c r="D172" s="834">
        <f t="shared" si="56"/>
        <v>2000</v>
      </c>
      <c r="E172" s="798">
        <v>0</v>
      </c>
      <c r="F172" s="799">
        <v>2000</v>
      </c>
      <c r="G172" s="835">
        <f t="shared" si="63"/>
        <v>1458</v>
      </c>
      <c r="H172" s="806"/>
      <c r="I172" s="807">
        <v>1458</v>
      </c>
      <c r="J172" s="835">
        <f t="shared" si="57"/>
        <v>3200.26</v>
      </c>
      <c r="K172" s="413">
        <v>1680.51</v>
      </c>
      <c r="L172" s="390">
        <v>1519.75</v>
      </c>
      <c r="M172" s="734"/>
      <c r="N172" s="338"/>
      <c r="O172" s="338"/>
      <c r="P172" s="338"/>
      <c r="Q172" s="343" t="str">
        <f t="shared" si="59"/>
        <v>2012</v>
      </c>
      <c r="R172" s="342">
        <f t="shared" si="60"/>
        <v>2000</v>
      </c>
      <c r="S172" s="341">
        <f t="shared" si="61"/>
        <v>1458</v>
      </c>
      <c r="T172" s="341">
        <f t="shared" si="62"/>
        <v>3200.26</v>
      </c>
      <c r="U172" s="391"/>
      <c r="V172" s="391"/>
      <c r="W172" s="391"/>
      <c r="X172" s="391"/>
      <c r="Y172" s="391"/>
      <c r="Z172" s="391"/>
      <c r="AA172" s="391"/>
      <c r="AB172" s="391"/>
      <c r="AC172" s="391"/>
      <c r="AD172" s="391"/>
      <c r="AE172" s="391"/>
    </row>
    <row r="173" spans="1:31" ht="17.399999999999999" customHeight="1" x14ac:dyDescent="0.2">
      <c r="A173" s="888"/>
      <c r="B173" s="614" t="s">
        <v>26</v>
      </c>
      <c r="C173" s="423" t="s">
        <v>296</v>
      </c>
      <c r="D173" s="834">
        <f t="shared" si="56"/>
        <v>2126</v>
      </c>
      <c r="E173" s="798">
        <v>1342</v>
      </c>
      <c r="F173" s="799">
        <v>784</v>
      </c>
      <c r="G173" s="835">
        <f t="shared" si="63"/>
        <v>2149</v>
      </c>
      <c r="H173" s="806">
        <v>1750</v>
      </c>
      <c r="I173" s="807">
        <v>399</v>
      </c>
      <c r="J173" s="835">
        <f t="shared" si="57"/>
        <v>3802.0299999999997</v>
      </c>
      <c r="K173" s="413">
        <v>1310.91</v>
      </c>
      <c r="L173" s="390">
        <v>2491.12</v>
      </c>
      <c r="M173" s="734"/>
      <c r="N173" s="338"/>
      <c r="O173" s="338"/>
      <c r="P173" s="338"/>
      <c r="Q173" s="343" t="str">
        <f t="shared" si="59"/>
        <v>2013</v>
      </c>
      <c r="R173" s="342">
        <f t="shared" si="60"/>
        <v>2126</v>
      </c>
      <c r="S173" s="341">
        <f t="shared" si="61"/>
        <v>2149</v>
      </c>
      <c r="T173" s="341">
        <f t="shared" si="62"/>
        <v>3802.0299999999997</v>
      </c>
      <c r="U173" s="391"/>
      <c r="V173" s="391"/>
      <c r="W173" s="391"/>
      <c r="X173" s="391"/>
      <c r="Y173" s="391"/>
      <c r="Z173" s="391"/>
      <c r="AA173" s="391"/>
      <c r="AB173" s="391"/>
      <c r="AC173" s="391"/>
      <c r="AD173" s="391"/>
      <c r="AE173" s="391"/>
    </row>
    <row r="174" spans="1:31" ht="17.399999999999999" customHeight="1" x14ac:dyDescent="0.2">
      <c r="A174" s="888"/>
      <c r="B174" s="614" t="s">
        <v>26</v>
      </c>
      <c r="C174" s="423" t="s">
        <v>297</v>
      </c>
      <c r="D174" s="834">
        <f t="shared" si="56"/>
        <v>1730</v>
      </c>
      <c r="E174" s="798">
        <v>1730</v>
      </c>
      <c r="F174" s="799">
        <v>0</v>
      </c>
      <c r="G174" s="835">
        <f t="shared" si="63"/>
        <v>1936</v>
      </c>
      <c r="H174" s="806">
        <v>1936</v>
      </c>
      <c r="I174" s="807">
        <v>0</v>
      </c>
      <c r="J174" s="835">
        <f t="shared" si="57"/>
        <v>1291.8400000000001</v>
      </c>
      <c r="K174" s="413">
        <v>766.71</v>
      </c>
      <c r="L174" s="390">
        <v>525.13</v>
      </c>
      <c r="M174" s="734"/>
      <c r="N174" s="338"/>
      <c r="O174" s="338"/>
      <c r="P174" s="338"/>
      <c r="Q174" s="343" t="str">
        <f t="shared" si="59"/>
        <v>2014</v>
      </c>
      <c r="R174" s="342">
        <f t="shared" si="60"/>
        <v>1730</v>
      </c>
      <c r="S174" s="341">
        <f t="shared" si="61"/>
        <v>1936</v>
      </c>
      <c r="T174" s="341">
        <f t="shared" si="62"/>
        <v>1291.8400000000001</v>
      </c>
      <c r="U174" s="391"/>
      <c r="V174" s="391"/>
      <c r="W174" s="391"/>
      <c r="X174" s="391"/>
      <c r="Y174" s="391"/>
      <c r="Z174" s="391"/>
      <c r="AA174" s="391"/>
      <c r="AB174" s="391"/>
      <c r="AC174" s="391"/>
      <c r="AD174" s="391"/>
      <c r="AE174" s="391"/>
    </row>
    <row r="175" spans="1:31" ht="17.399999999999999" customHeight="1" x14ac:dyDescent="0.2">
      <c r="A175" s="888"/>
      <c r="B175" s="614" t="s">
        <v>26</v>
      </c>
      <c r="C175" s="423" t="s">
        <v>298</v>
      </c>
      <c r="D175" s="830">
        <f t="shared" si="56"/>
        <v>1662</v>
      </c>
      <c r="E175" s="800">
        <v>1662</v>
      </c>
      <c r="F175" s="801">
        <v>0</v>
      </c>
      <c r="G175" s="831">
        <f t="shared" si="63"/>
        <v>1447</v>
      </c>
      <c r="H175" s="808">
        <v>1447</v>
      </c>
      <c r="I175" s="809">
        <v>0</v>
      </c>
      <c r="J175" s="831">
        <f t="shared" si="57"/>
        <v>1596.6</v>
      </c>
      <c r="K175" s="420">
        <v>1311.78</v>
      </c>
      <c r="L175" s="419">
        <v>284.82</v>
      </c>
      <c r="M175" s="735"/>
      <c r="N175" s="338"/>
      <c r="O175" s="338"/>
      <c r="P175" s="338"/>
      <c r="Q175" s="343" t="str">
        <f t="shared" si="59"/>
        <v>2015</v>
      </c>
      <c r="R175" s="342">
        <f t="shared" si="60"/>
        <v>1662</v>
      </c>
      <c r="S175" s="341">
        <f t="shared" si="61"/>
        <v>1447</v>
      </c>
      <c r="T175" s="341">
        <f t="shared" si="62"/>
        <v>1596.6</v>
      </c>
      <c r="U175" s="350"/>
      <c r="V175" s="350"/>
      <c r="W175" s="350"/>
      <c r="X175" s="350"/>
      <c r="Y175" s="350"/>
      <c r="Z175" s="350"/>
      <c r="AA175" s="350"/>
      <c r="AB175" s="350"/>
      <c r="AC175" s="350"/>
      <c r="AD175" s="350"/>
      <c r="AE175" s="350"/>
    </row>
    <row r="176" spans="1:31" ht="17.399999999999999" customHeight="1" thickBot="1" x14ac:dyDescent="0.25">
      <c r="A176" s="889"/>
      <c r="B176" s="614" t="s">
        <v>26</v>
      </c>
      <c r="C176" s="423" t="s">
        <v>438</v>
      </c>
      <c r="D176" s="832">
        <f t="shared" si="56"/>
        <v>2845</v>
      </c>
      <c r="E176" s="812">
        <v>840</v>
      </c>
      <c r="F176" s="813">
        <v>2005</v>
      </c>
      <c r="G176" s="833">
        <f t="shared" si="63"/>
        <v>0</v>
      </c>
      <c r="H176" s="814"/>
      <c r="I176" s="815"/>
      <c r="J176" s="833">
        <f t="shared" si="57"/>
        <v>0</v>
      </c>
      <c r="K176" s="418"/>
      <c r="L176" s="417"/>
      <c r="M176" s="735"/>
      <c r="N176" s="338"/>
      <c r="O176" s="338"/>
      <c r="P176" s="338"/>
      <c r="Q176" s="343" t="str">
        <f t="shared" si="59"/>
        <v>2016</v>
      </c>
      <c r="R176" s="342">
        <f t="shared" si="60"/>
        <v>2845</v>
      </c>
      <c r="S176" s="341">
        <f t="shared" si="61"/>
        <v>0</v>
      </c>
      <c r="T176" s="341">
        <f t="shared" si="62"/>
        <v>0</v>
      </c>
      <c r="U176" s="350"/>
      <c r="V176" s="350"/>
      <c r="W176" s="350"/>
      <c r="X176" s="350"/>
      <c r="Y176" s="350"/>
      <c r="Z176" s="350"/>
      <c r="AA176" s="350"/>
      <c r="AB176" s="350"/>
      <c r="AC176" s="350"/>
      <c r="AD176" s="350"/>
      <c r="AE176" s="350"/>
    </row>
    <row r="177" spans="1:31" ht="57" customHeight="1" thickBot="1" x14ac:dyDescent="0.25">
      <c r="A177" s="887" t="s">
        <v>395</v>
      </c>
      <c r="B177" s="609" t="s">
        <v>204</v>
      </c>
      <c r="C177" s="412" t="s">
        <v>384</v>
      </c>
      <c r="D177" s="411" t="s">
        <v>383</v>
      </c>
      <c r="E177" s="410" t="s">
        <v>390</v>
      </c>
      <c r="F177" s="409" t="s">
        <v>389</v>
      </c>
      <c r="G177" s="838" t="s">
        <v>382</v>
      </c>
      <c r="H177" s="839" t="s">
        <v>388</v>
      </c>
      <c r="I177" s="840" t="s">
        <v>387</v>
      </c>
      <c r="J177" s="408" t="s">
        <v>381</v>
      </c>
      <c r="K177" s="407" t="s">
        <v>393</v>
      </c>
      <c r="L177" s="406" t="s">
        <v>392</v>
      </c>
      <c r="Q177" s="349" t="s">
        <v>384</v>
      </c>
      <c r="R177" s="348" t="s">
        <v>383</v>
      </c>
      <c r="S177" s="347" t="s">
        <v>382</v>
      </c>
      <c r="T177" s="346" t="s">
        <v>381</v>
      </c>
    </row>
    <row r="178" spans="1:31" ht="16.5" hidden="1" customHeight="1" outlineLevel="1" x14ac:dyDescent="0.2">
      <c r="A178" s="888"/>
      <c r="B178" s="614" t="s">
        <v>27</v>
      </c>
      <c r="C178" s="435" t="s">
        <v>434</v>
      </c>
      <c r="D178" s="405">
        <f t="shared" ref="D178:D198" si="64">SUM(E178+F178)</f>
        <v>5100</v>
      </c>
      <c r="E178" s="404">
        <v>5100</v>
      </c>
      <c r="F178" s="403">
        <v>0</v>
      </c>
      <c r="G178" s="402">
        <f>SUM(H178+I178)</f>
        <v>0</v>
      </c>
      <c r="H178" s="401">
        <v>0</v>
      </c>
      <c r="I178" s="400">
        <v>0</v>
      </c>
      <c r="J178" s="402">
        <f t="shared" ref="J178:J198" si="65">SUM(K178:L178)</f>
        <v>7991.18</v>
      </c>
      <c r="K178" s="401">
        <v>7474.08</v>
      </c>
      <c r="L178" s="400">
        <v>517.1</v>
      </c>
      <c r="M178" s="734">
        <f t="shared" ref="M178:M186" si="66">SUM(K178:L178)</f>
        <v>7991.18</v>
      </c>
      <c r="N178" s="338"/>
      <c r="O178" s="338"/>
      <c r="P178" s="338"/>
      <c r="Q178" s="345" t="str">
        <f t="shared" ref="Q178:Q198" si="67">+C178</f>
        <v>1996</v>
      </c>
      <c r="R178" s="342">
        <f t="shared" ref="R178:R198" si="68">+D178</f>
        <v>5100</v>
      </c>
      <c r="S178" s="341">
        <f t="shared" ref="S178:S198" si="69">+G178</f>
        <v>0</v>
      </c>
      <c r="T178" s="341">
        <f t="shared" ref="T178:T198" si="70">+J178</f>
        <v>7991.18</v>
      </c>
      <c r="U178" s="391"/>
      <c r="V178" s="391"/>
      <c r="W178" s="391"/>
      <c r="X178" s="391"/>
      <c r="Y178" s="391"/>
      <c r="Z178" s="391"/>
      <c r="AA178" s="391"/>
      <c r="AB178" s="391"/>
      <c r="AC178" s="391"/>
      <c r="AD178" s="391"/>
      <c r="AE178" s="391"/>
    </row>
    <row r="179" spans="1:31" ht="16.5" hidden="1" customHeight="1" outlineLevel="1" x14ac:dyDescent="0.2">
      <c r="A179" s="888"/>
      <c r="B179" s="614" t="s">
        <v>27</v>
      </c>
      <c r="C179" s="399" t="s">
        <v>435</v>
      </c>
      <c r="D179" s="398">
        <f t="shared" si="64"/>
        <v>2300</v>
      </c>
      <c r="E179" s="397">
        <v>200</v>
      </c>
      <c r="F179" s="396">
        <v>2100</v>
      </c>
      <c r="G179" s="395">
        <f>SUM(H179+I179)</f>
        <v>5787</v>
      </c>
      <c r="H179" s="394">
        <v>5787</v>
      </c>
      <c r="I179" s="393">
        <v>0</v>
      </c>
      <c r="J179" s="395">
        <f t="shared" si="65"/>
        <v>915.95</v>
      </c>
      <c r="K179" s="394">
        <v>214.45</v>
      </c>
      <c r="L179" s="393">
        <v>701.5</v>
      </c>
      <c r="M179" s="734">
        <f t="shared" si="66"/>
        <v>915.95</v>
      </c>
      <c r="N179" s="338"/>
      <c r="O179" s="338"/>
      <c r="P179" s="338"/>
      <c r="Q179" s="345" t="str">
        <f t="shared" si="67"/>
        <v>1997</v>
      </c>
      <c r="R179" s="342">
        <f t="shared" si="68"/>
        <v>2300</v>
      </c>
      <c r="S179" s="341">
        <f t="shared" si="69"/>
        <v>5787</v>
      </c>
      <c r="T179" s="341">
        <f t="shared" si="70"/>
        <v>915.95</v>
      </c>
      <c r="U179" s="391"/>
      <c r="V179" s="391"/>
      <c r="W179" s="391"/>
      <c r="X179" s="391"/>
      <c r="Y179" s="391"/>
      <c r="Z179" s="391"/>
      <c r="AA179" s="391"/>
      <c r="AB179" s="391"/>
      <c r="AC179" s="391"/>
      <c r="AD179" s="391"/>
      <c r="AE179" s="391"/>
    </row>
    <row r="180" spans="1:31" ht="16.5" hidden="1" customHeight="1" outlineLevel="1" x14ac:dyDescent="0.2">
      <c r="A180" s="888"/>
      <c r="B180" s="614" t="s">
        <v>27</v>
      </c>
      <c r="C180" s="399" t="s">
        <v>436</v>
      </c>
      <c r="D180" s="398">
        <f t="shared" si="64"/>
        <v>5600</v>
      </c>
      <c r="E180" s="397">
        <v>5600</v>
      </c>
      <c r="F180" s="396">
        <v>0</v>
      </c>
      <c r="G180" s="395">
        <f>SUM(H180:I180)</f>
        <v>1812</v>
      </c>
      <c r="H180" s="394">
        <v>0</v>
      </c>
      <c r="I180" s="393">
        <v>1812</v>
      </c>
      <c r="J180" s="395">
        <f t="shared" si="65"/>
        <v>1721.96</v>
      </c>
      <c r="K180" s="394">
        <v>1721.96</v>
      </c>
      <c r="L180" s="393">
        <v>0</v>
      </c>
      <c r="M180" s="734">
        <f t="shared" si="66"/>
        <v>1721.96</v>
      </c>
      <c r="N180" s="338"/>
      <c r="O180" s="338"/>
      <c r="P180" s="338"/>
      <c r="Q180" s="345" t="str">
        <f t="shared" si="67"/>
        <v>1998</v>
      </c>
      <c r="R180" s="342">
        <f t="shared" si="68"/>
        <v>5600</v>
      </c>
      <c r="S180" s="341">
        <f t="shared" si="69"/>
        <v>1812</v>
      </c>
      <c r="T180" s="341">
        <f t="shared" si="70"/>
        <v>1721.96</v>
      </c>
      <c r="U180" s="391"/>
      <c r="V180" s="391"/>
      <c r="W180" s="391"/>
      <c r="X180" s="391"/>
      <c r="Y180" s="391"/>
      <c r="Z180" s="391"/>
      <c r="AA180" s="391"/>
      <c r="AB180" s="391"/>
      <c r="AC180" s="391"/>
      <c r="AD180" s="391"/>
      <c r="AE180" s="391"/>
    </row>
    <row r="181" spans="1:31" ht="16.5" hidden="1" customHeight="1" outlineLevel="1" x14ac:dyDescent="0.2">
      <c r="A181" s="888"/>
      <c r="B181" s="614" t="s">
        <v>27</v>
      </c>
      <c r="C181" s="389" t="s">
        <v>437</v>
      </c>
      <c r="D181" s="388">
        <f t="shared" si="64"/>
        <v>3700</v>
      </c>
      <c r="E181" s="386">
        <v>2800</v>
      </c>
      <c r="F181" s="381">
        <v>900</v>
      </c>
      <c r="G181" s="383">
        <f t="shared" ref="G181:G198" si="71">SUM(H181+I181)</f>
        <v>11248</v>
      </c>
      <c r="H181" s="384">
        <v>10527</v>
      </c>
      <c r="I181" s="392">
        <v>721</v>
      </c>
      <c r="J181" s="383">
        <f t="shared" si="65"/>
        <v>1409.65</v>
      </c>
      <c r="K181" s="384">
        <v>1409.65</v>
      </c>
      <c r="L181" s="392">
        <v>0</v>
      </c>
      <c r="M181" s="734">
        <f t="shared" si="66"/>
        <v>1409.65</v>
      </c>
      <c r="N181" s="338"/>
      <c r="O181" s="338"/>
      <c r="P181" s="338"/>
      <c r="Q181" s="345" t="str">
        <f t="shared" si="67"/>
        <v>1999</v>
      </c>
      <c r="R181" s="342">
        <f t="shared" si="68"/>
        <v>3700</v>
      </c>
      <c r="S181" s="341">
        <f t="shared" si="69"/>
        <v>11248</v>
      </c>
      <c r="T181" s="341">
        <f t="shared" si="70"/>
        <v>1409.65</v>
      </c>
      <c r="U181" s="391"/>
      <c r="V181" s="391"/>
      <c r="W181" s="391"/>
      <c r="X181" s="391"/>
      <c r="Y181" s="391"/>
      <c r="Z181" s="391"/>
      <c r="AA181" s="391"/>
      <c r="AB181" s="391"/>
      <c r="AC181" s="391"/>
      <c r="AD181" s="391"/>
      <c r="AE181" s="391"/>
    </row>
    <row r="182" spans="1:31" ht="17.399999999999999" hidden="1" customHeight="1" outlineLevel="1" x14ac:dyDescent="0.2">
      <c r="A182" s="888"/>
      <c r="B182" s="614" t="s">
        <v>27</v>
      </c>
      <c r="C182" s="428" t="s">
        <v>283</v>
      </c>
      <c r="D182" s="388">
        <f t="shared" si="64"/>
        <v>8300</v>
      </c>
      <c r="E182" s="384">
        <v>8300</v>
      </c>
      <c r="F182" s="392">
        <v>0</v>
      </c>
      <c r="G182" s="383">
        <f t="shared" si="71"/>
        <v>9917</v>
      </c>
      <c r="H182" s="384">
        <v>9917</v>
      </c>
      <c r="I182" s="392">
        <v>0</v>
      </c>
      <c r="J182" s="383">
        <f t="shared" si="65"/>
        <v>8206.8799999999992</v>
      </c>
      <c r="K182" s="380">
        <v>6033.19</v>
      </c>
      <c r="L182" s="379">
        <v>2173.69</v>
      </c>
      <c r="M182" s="734">
        <f t="shared" si="66"/>
        <v>8206.8799999999992</v>
      </c>
      <c r="N182" s="338"/>
      <c r="O182" s="338"/>
      <c r="P182" s="338"/>
      <c r="Q182" s="345" t="str">
        <f t="shared" si="67"/>
        <v>2000</v>
      </c>
      <c r="R182" s="342">
        <f t="shared" si="68"/>
        <v>8300</v>
      </c>
      <c r="S182" s="341">
        <f t="shared" si="69"/>
        <v>9917</v>
      </c>
      <c r="T182" s="341">
        <f t="shared" si="70"/>
        <v>8206.8799999999992</v>
      </c>
      <c r="U182" s="391"/>
      <c r="V182" s="391"/>
      <c r="W182" s="391"/>
      <c r="X182" s="391"/>
      <c r="Y182" s="391"/>
      <c r="Z182" s="391"/>
      <c r="AA182" s="391"/>
      <c r="AB182" s="391"/>
      <c r="AC182" s="391"/>
      <c r="AD182" s="391"/>
      <c r="AE182" s="391"/>
    </row>
    <row r="183" spans="1:31" ht="17.399999999999999" hidden="1" customHeight="1" outlineLevel="1" x14ac:dyDescent="0.2">
      <c r="A183" s="888"/>
      <c r="B183" s="614" t="s">
        <v>27</v>
      </c>
      <c r="C183" s="389" t="s">
        <v>284</v>
      </c>
      <c r="D183" s="388">
        <f t="shared" si="64"/>
        <v>3900</v>
      </c>
      <c r="E183" s="384">
        <v>3900</v>
      </c>
      <c r="F183" s="392">
        <v>0</v>
      </c>
      <c r="G183" s="383">
        <f t="shared" si="71"/>
        <v>0</v>
      </c>
      <c r="H183" s="384">
        <v>0</v>
      </c>
      <c r="I183" s="392">
        <v>0</v>
      </c>
      <c r="J183" s="383">
        <f t="shared" si="65"/>
        <v>13476.66</v>
      </c>
      <c r="K183" s="380">
        <v>13474.63</v>
      </c>
      <c r="L183" s="379">
        <v>2.0299999999999998</v>
      </c>
      <c r="M183" s="734">
        <f t="shared" si="66"/>
        <v>13476.66</v>
      </c>
      <c r="N183" s="338"/>
      <c r="O183" s="338"/>
      <c r="P183" s="338"/>
      <c r="Q183" s="343" t="str">
        <f t="shared" si="67"/>
        <v>2001</v>
      </c>
      <c r="R183" s="342">
        <f t="shared" si="68"/>
        <v>3900</v>
      </c>
      <c r="S183" s="341">
        <f t="shared" si="69"/>
        <v>0</v>
      </c>
      <c r="T183" s="341">
        <f t="shared" si="70"/>
        <v>13476.66</v>
      </c>
      <c r="U183" s="391"/>
      <c r="V183" s="391"/>
      <c r="W183" s="391"/>
      <c r="X183" s="391"/>
      <c r="Y183" s="391"/>
      <c r="Z183" s="391"/>
      <c r="AA183" s="391"/>
      <c r="AB183" s="391"/>
      <c r="AC183" s="391"/>
      <c r="AD183" s="391"/>
      <c r="AE183" s="391"/>
    </row>
    <row r="184" spans="1:31" ht="17.399999999999999" hidden="1" customHeight="1" outlineLevel="1" x14ac:dyDescent="0.2">
      <c r="A184" s="888"/>
      <c r="B184" s="614" t="s">
        <v>27</v>
      </c>
      <c r="C184" s="389" t="s">
        <v>285</v>
      </c>
      <c r="D184" s="388">
        <f t="shared" si="64"/>
        <v>7500</v>
      </c>
      <c r="E184" s="384">
        <v>1900</v>
      </c>
      <c r="F184" s="392">
        <v>5600</v>
      </c>
      <c r="G184" s="383">
        <f t="shared" si="71"/>
        <v>6780</v>
      </c>
      <c r="H184" s="384">
        <v>6780</v>
      </c>
      <c r="I184" s="392">
        <v>0</v>
      </c>
      <c r="J184" s="383">
        <f t="shared" si="65"/>
        <v>12674.41</v>
      </c>
      <c r="K184" s="380">
        <v>11706.71</v>
      </c>
      <c r="L184" s="379">
        <v>967.7</v>
      </c>
      <c r="M184" s="734">
        <f t="shared" si="66"/>
        <v>12674.41</v>
      </c>
      <c r="N184" s="338"/>
      <c r="O184" s="338"/>
      <c r="P184" s="338"/>
      <c r="Q184" s="343" t="str">
        <f t="shared" si="67"/>
        <v>2002</v>
      </c>
      <c r="R184" s="342">
        <f t="shared" si="68"/>
        <v>7500</v>
      </c>
      <c r="S184" s="341">
        <f t="shared" si="69"/>
        <v>6780</v>
      </c>
      <c r="T184" s="341">
        <f t="shared" si="70"/>
        <v>12674.41</v>
      </c>
      <c r="U184" s="391"/>
      <c r="V184" s="391"/>
      <c r="W184" s="391"/>
      <c r="X184" s="391"/>
      <c r="Y184" s="391"/>
      <c r="Z184" s="391"/>
      <c r="AA184" s="391"/>
      <c r="AB184" s="391"/>
      <c r="AC184" s="391"/>
      <c r="AD184" s="391"/>
      <c r="AE184" s="391"/>
    </row>
    <row r="185" spans="1:31" ht="17.399999999999999" hidden="1" customHeight="1" outlineLevel="1" x14ac:dyDescent="0.2">
      <c r="A185" s="888"/>
      <c r="B185" s="614" t="s">
        <v>27</v>
      </c>
      <c r="C185" s="389" t="s">
        <v>286</v>
      </c>
      <c r="D185" s="388">
        <f t="shared" si="64"/>
        <v>7860</v>
      </c>
      <c r="E185" s="384">
        <v>7100</v>
      </c>
      <c r="F185" s="392">
        <v>760</v>
      </c>
      <c r="G185" s="383">
        <f t="shared" si="71"/>
        <v>6420</v>
      </c>
      <c r="H185" s="384">
        <v>1746</v>
      </c>
      <c r="I185" s="392">
        <v>4674</v>
      </c>
      <c r="J185" s="383">
        <f t="shared" si="65"/>
        <v>2841.18</v>
      </c>
      <c r="K185" s="380">
        <v>2841.18</v>
      </c>
      <c r="L185" s="379">
        <v>0</v>
      </c>
      <c r="M185" s="734">
        <f t="shared" si="66"/>
        <v>2841.18</v>
      </c>
      <c r="N185" s="338"/>
      <c r="O185" s="338"/>
      <c r="P185" s="338"/>
      <c r="Q185" s="343" t="str">
        <f t="shared" si="67"/>
        <v>2003</v>
      </c>
      <c r="R185" s="342">
        <f t="shared" si="68"/>
        <v>7860</v>
      </c>
      <c r="S185" s="341">
        <f t="shared" si="69"/>
        <v>6420</v>
      </c>
      <c r="T185" s="341">
        <f t="shared" si="70"/>
        <v>2841.18</v>
      </c>
      <c r="U185" s="391"/>
      <c r="V185" s="391"/>
      <c r="W185" s="391"/>
      <c r="X185" s="391"/>
      <c r="Y185" s="391"/>
      <c r="Z185" s="391"/>
      <c r="AA185" s="391"/>
      <c r="AB185" s="391"/>
      <c r="AC185" s="391"/>
      <c r="AD185" s="391"/>
      <c r="AE185" s="391"/>
    </row>
    <row r="186" spans="1:31" ht="17.399999999999999" hidden="1" customHeight="1" outlineLevel="1" x14ac:dyDescent="0.2">
      <c r="A186" s="888"/>
      <c r="B186" s="614" t="s">
        <v>27</v>
      </c>
      <c r="C186" s="389" t="s">
        <v>287</v>
      </c>
      <c r="D186" s="388">
        <f t="shared" si="64"/>
        <v>11900</v>
      </c>
      <c r="E186" s="384">
        <v>11900</v>
      </c>
      <c r="F186" s="392">
        <v>0</v>
      </c>
      <c r="G186" s="383">
        <f t="shared" si="71"/>
        <v>18261</v>
      </c>
      <c r="H186" s="384">
        <v>17410</v>
      </c>
      <c r="I186" s="392">
        <v>851</v>
      </c>
      <c r="J186" s="383">
        <f t="shared" si="65"/>
        <v>2181.2199999999998</v>
      </c>
      <c r="K186" s="380">
        <v>2181.2199999999998</v>
      </c>
      <c r="L186" s="379">
        <v>0</v>
      </c>
      <c r="M186" s="734">
        <f t="shared" si="66"/>
        <v>2181.2199999999998</v>
      </c>
      <c r="N186" s="338"/>
      <c r="O186" s="338"/>
      <c r="P186" s="338"/>
      <c r="Q186" s="343" t="str">
        <f t="shared" si="67"/>
        <v>2004</v>
      </c>
      <c r="R186" s="342">
        <f t="shared" si="68"/>
        <v>11900</v>
      </c>
      <c r="S186" s="341">
        <f t="shared" si="69"/>
        <v>18261</v>
      </c>
      <c r="T186" s="341">
        <f t="shared" si="70"/>
        <v>2181.2199999999998</v>
      </c>
      <c r="U186" s="391"/>
      <c r="V186" s="391"/>
      <c r="W186" s="391"/>
      <c r="X186" s="391"/>
      <c r="Y186" s="391"/>
      <c r="Z186" s="391"/>
      <c r="AA186" s="391"/>
      <c r="AB186" s="391"/>
      <c r="AC186" s="391"/>
      <c r="AD186" s="391"/>
      <c r="AE186" s="391"/>
    </row>
    <row r="187" spans="1:31" ht="17.399999999999999" hidden="1" customHeight="1" outlineLevel="1" x14ac:dyDescent="0.2">
      <c r="A187" s="888"/>
      <c r="B187" s="614" t="s">
        <v>27</v>
      </c>
      <c r="C187" s="389" t="s">
        <v>288</v>
      </c>
      <c r="D187" s="388">
        <f t="shared" si="64"/>
        <v>7388</v>
      </c>
      <c r="E187" s="384">
        <v>7388</v>
      </c>
      <c r="F187" s="392">
        <v>0</v>
      </c>
      <c r="G187" s="383">
        <f t="shared" si="71"/>
        <v>1162</v>
      </c>
      <c r="H187" s="384">
        <v>1162</v>
      </c>
      <c r="I187" s="392">
        <v>0</v>
      </c>
      <c r="J187" s="383">
        <f t="shared" si="65"/>
        <v>21790.48</v>
      </c>
      <c r="K187" s="380">
        <v>17350.37</v>
      </c>
      <c r="L187" s="379">
        <v>4440.1099999999997</v>
      </c>
      <c r="M187" s="734"/>
      <c r="N187" s="338"/>
      <c r="O187" s="338"/>
      <c r="P187" s="338"/>
      <c r="Q187" s="343" t="str">
        <f t="shared" si="67"/>
        <v>2005</v>
      </c>
      <c r="R187" s="342">
        <f t="shared" si="68"/>
        <v>7388</v>
      </c>
      <c r="S187" s="341">
        <f t="shared" si="69"/>
        <v>1162</v>
      </c>
      <c r="T187" s="341">
        <f t="shared" si="70"/>
        <v>21790.48</v>
      </c>
      <c r="U187" s="391"/>
      <c r="V187" s="391"/>
      <c r="W187" s="391"/>
      <c r="X187" s="391"/>
      <c r="Y187" s="391"/>
      <c r="Z187" s="391"/>
      <c r="AA187" s="391"/>
      <c r="AB187" s="391"/>
      <c r="AC187" s="391"/>
      <c r="AD187" s="391"/>
      <c r="AE187" s="391"/>
    </row>
    <row r="188" spans="1:31" ht="17.399999999999999" customHeight="1" collapsed="1" x14ac:dyDescent="0.2">
      <c r="A188" s="888"/>
      <c r="B188" s="614" t="s">
        <v>27</v>
      </c>
      <c r="C188" s="389" t="s">
        <v>289</v>
      </c>
      <c r="D188" s="824">
        <f t="shared" si="64"/>
        <v>7200</v>
      </c>
      <c r="E188" s="796">
        <v>7200</v>
      </c>
      <c r="F188" s="797">
        <v>0</v>
      </c>
      <c r="G188" s="827">
        <f t="shared" si="71"/>
        <v>11275</v>
      </c>
      <c r="H188" s="804">
        <v>11275</v>
      </c>
      <c r="I188" s="805"/>
      <c r="J188" s="827">
        <f t="shared" si="65"/>
        <v>8220.67</v>
      </c>
      <c r="K188" s="380">
        <v>4508.95</v>
      </c>
      <c r="L188" s="379">
        <v>3711.72</v>
      </c>
      <c r="M188" s="734"/>
      <c r="N188" s="338"/>
      <c r="O188" s="338"/>
      <c r="P188" s="338"/>
      <c r="Q188" s="343" t="str">
        <f t="shared" si="67"/>
        <v>2006</v>
      </c>
      <c r="R188" s="342">
        <f t="shared" si="68"/>
        <v>7200</v>
      </c>
      <c r="S188" s="341">
        <f t="shared" si="69"/>
        <v>11275</v>
      </c>
      <c r="T188" s="341">
        <f t="shared" si="70"/>
        <v>8220.67</v>
      </c>
      <c r="U188" s="391"/>
      <c r="V188" s="391"/>
      <c r="W188" s="391"/>
      <c r="X188" s="391"/>
      <c r="Y188" s="391"/>
      <c r="Z188" s="391"/>
      <c r="AA188" s="391"/>
      <c r="AB188" s="391"/>
      <c r="AC188" s="391"/>
      <c r="AD188" s="391"/>
      <c r="AE188" s="391"/>
    </row>
    <row r="189" spans="1:31" ht="17.399999999999999" customHeight="1" x14ac:dyDescent="0.2">
      <c r="A189" s="888"/>
      <c r="B189" s="614" t="s">
        <v>27</v>
      </c>
      <c r="C189" s="389" t="s">
        <v>290</v>
      </c>
      <c r="D189" s="824">
        <f t="shared" si="64"/>
        <v>6300</v>
      </c>
      <c r="E189" s="796">
        <v>5200</v>
      </c>
      <c r="F189" s="797">
        <v>1100</v>
      </c>
      <c r="G189" s="827">
        <f t="shared" si="71"/>
        <v>7961</v>
      </c>
      <c r="H189" s="804">
        <v>7961</v>
      </c>
      <c r="I189" s="805">
        <v>0</v>
      </c>
      <c r="J189" s="827">
        <f t="shared" si="65"/>
        <v>8725.24</v>
      </c>
      <c r="K189" s="380">
        <v>8725.24</v>
      </c>
      <c r="L189" s="379">
        <v>0</v>
      </c>
      <c r="M189" s="734"/>
      <c r="N189" s="338"/>
      <c r="O189" s="338"/>
      <c r="P189" s="338"/>
      <c r="Q189" s="343" t="str">
        <f t="shared" si="67"/>
        <v>2007</v>
      </c>
      <c r="R189" s="342">
        <f t="shared" si="68"/>
        <v>6300</v>
      </c>
      <c r="S189" s="341">
        <f t="shared" si="69"/>
        <v>7961</v>
      </c>
      <c r="T189" s="341">
        <f t="shared" si="70"/>
        <v>8725.24</v>
      </c>
      <c r="U189" s="391"/>
      <c r="V189" s="391"/>
      <c r="W189" s="391"/>
      <c r="X189" s="391"/>
      <c r="Y189" s="391"/>
      <c r="Z189" s="391"/>
      <c r="AA189" s="391"/>
      <c r="AB189" s="391"/>
      <c r="AC189" s="391"/>
      <c r="AD189" s="391"/>
      <c r="AE189" s="391"/>
    </row>
    <row r="190" spans="1:31" ht="17.399999999999999" customHeight="1" x14ac:dyDescent="0.2">
      <c r="A190" s="888"/>
      <c r="B190" s="614" t="s">
        <v>27</v>
      </c>
      <c r="C190" s="389" t="s">
        <v>291</v>
      </c>
      <c r="D190" s="824">
        <f t="shared" si="64"/>
        <v>6000</v>
      </c>
      <c r="E190" s="796">
        <v>6000</v>
      </c>
      <c r="F190" s="797">
        <v>0</v>
      </c>
      <c r="G190" s="827">
        <f t="shared" si="71"/>
        <v>14683</v>
      </c>
      <c r="H190" s="804">
        <v>11938</v>
      </c>
      <c r="I190" s="805">
        <v>2745</v>
      </c>
      <c r="J190" s="827">
        <f t="shared" si="65"/>
        <v>7947</v>
      </c>
      <c r="K190" s="380">
        <v>7947</v>
      </c>
      <c r="L190" s="379">
        <v>0</v>
      </c>
      <c r="M190" s="734"/>
      <c r="N190" s="338"/>
      <c r="O190" s="338"/>
      <c r="P190" s="338"/>
      <c r="Q190" s="343" t="str">
        <f t="shared" si="67"/>
        <v>2008</v>
      </c>
      <c r="R190" s="342">
        <f t="shared" si="68"/>
        <v>6000</v>
      </c>
      <c r="S190" s="341">
        <f t="shared" si="69"/>
        <v>14683</v>
      </c>
      <c r="T190" s="341">
        <f t="shared" si="70"/>
        <v>7947</v>
      </c>
      <c r="U190" s="391"/>
      <c r="V190" s="391"/>
      <c r="W190" s="391"/>
      <c r="X190" s="391"/>
      <c r="Y190" s="391"/>
      <c r="Z190" s="391"/>
      <c r="AA190" s="391"/>
      <c r="AB190" s="391"/>
      <c r="AC190" s="391"/>
      <c r="AD190" s="391"/>
      <c r="AE190" s="391"/>
    </row>
    <row r="191" spans="1:31" ht="17.399999999999999" customHeight="1" x14ac:dyDescent="0.2">
      <c r="A191" s="888"/>
      <c r="B191" s="614" t="s">
        <v>27</v>
      </c>
      <c r="C191" s="389" t="s">
        <v>292</v>
      </c>
      <c r="D191" s="824">
        <f t="shared" si="64"/>
        <v>7196</v>
      </c>
      <c r="E191" s="796">
        <v>4964</v>
      </c>
      <c r="F191" s="797">
        <v>2232</v>
      </c>
      <c r="G191" s="827">
        <f t="shared" si="71"/>
        <v>7793</v>
      </c>
      <c r="H191" s="804">
        <v>5005.79</v>
      </c>
      <c r="I191" s="805">
        <v>2787.21</v>
      </c>
      <c r="J191" s="827">
        <f t="shared" si="65"/>
        <v>9329.9</v>
      </c>
      <c r="K191" s="380">
        <v>6855.07</v>
      </c>
      <c r="L191" s="379">
        <v>2474.83</v>
      </c>
      <c r="M191" s="734"/>
      <c r="N191" s="338"/>
      <c r="O191" s="338"/>
      <c r="P191" s="338"/>
      <c r="Q191" s="343" t="str">
        <f t="shared" si="67"/>
        <v>2009</v>
      </c>
      <c r="R191" s="342">
        <f t="shared" si="68"/>
        <v>7196</v>
      </c>
      <c r="S191" s="341">
        <f t="shared" si="69"/>
        <v>7793</v>
      </c>
      <c r="T191" s="341">
        <f t="shared" si="70"/>
        <v>9329.9</v>
      </c>
      <c r="U191" s="391"/>
      <c r="V191" s="391"/>
      <c r="W191" s="391"/>
      <c r="X191" s="391"/>
      <c r="Y191" s="391"/>
      <c r="Z191" s="391"/>
      <c r="AA191" s="391"/>
      <c r="AB191" s="391"/>
      <c r="AC191" s="391"/>
      <c r="AD191" s="391"/>
      <c r="AE191" s="391"/>
    </row>
    <row r="192" spans="1:31" ht="17.399999999999999" customHeight="1" x14ac:dyDescent="0.2">
      <c r="A192" s="888"/>
      <c r="B192" s="614" t="s">
        <v>27</v>
      </c>
      <c r="C192" s="389" t="s">
        <v>293</v>
      </c>
      <c r="D192" s="824">
        <f t="shared" si="64"/>
        <v>6300</v>
      </c>
      <c r="E192" s="796">
        <v>4900</v>
      </c>
      <c r="F192" s="797">
        <v>1400</v>
      </c>
      <c r="G192" s="827">
        <f t="shared" si="71"/>
        <v>7866</v>
      </c>
      <c r="H192" s="804">
        <v>5970</v>
      </c>
      <c r="I192" s="805">
        <v>1896</v>
      </c>
      <c r="J192" s="827">
        <f t="shared" si="65"/>
        <v>12164</v>
      </c>
      <c r="K192" s="380">
        <v>8745</v>
      </c>
      <c r="L192" s="379">
        <v>3419</v>
      </c>
      <c r="M192" s="734"/>
      <c r="N192" s="338"/>
      <c r="O192" s="338"/>
      <c r="P192" s="338"/>
      <c r="Q192" s="343" t="str">
        <f t="shared" si="67"/>
        <v>2010</v>
      </c>
      <c r="R192" s="342">
        <f t="shared" si="68"/>
        <v>6300</v>
      </c>
      <c r="S192" s="341">
        <f t="shared" si="69"/>
        <v>7866</v>
      </c>
      <c r="T192" s="341">
        <f t="shared" si="70"/>
        <v>12164</v>
      </c>
      <c r="U192" s="391"/>
      <c r="V192" s="391"/>
      <c r="W192" s="391"/>
      <c r="X192" s="391"/>
      <c r="Y192" s="391"/>
      <c r="Z192" s="391"/>
      <c r="AA192" s="391"/>
      <c r="AB192" s="391"/>
      <c r="AC192" s="391"/>
      <c r="AD192" s="391"/>
      <c r="AE192" s="391"/>
    </row>
    <row r="193" spans="1:31" ht="17.399999999999999" customHeight="1" x14ac:dyDescent="0.2">
      <c r="A193" s="888"/>
      <c r="B193" s="614" t="s">
        <v>27</v>
      </c>
      <c r="C193" s="427" t="s">
        <v>294</v>
      </c>
      <c r="D193" s="834">
        <f t="shared" si="64"/>
        <v>4930</v>
      </c>
      <c r="E193" s="798">
        <v>4930</v>
      </c>
      <c r="F193" s="799">
        <v>0</v>
      </c>
      <c r="G193" s="835">
        <f t="shared" si="71"/>
        <v>14862</v>
      </c>
      <c r="H193" s="806">
        <v>14862</v>
      </c>
      <c r="I193" s="807">
        <v>0</v>
      </c>
      <c r="J193" s="835">
        <f t="shared" si="65"/>
        <v>18601</v>
      </c>
      <c r="K193" s="413">
        <v>17924</v>
      </c>
      <c r="L193" s="390">
        <v>677</v>
      </c>
      <c r="M193" s="734"/>
      <c r="N193" s="338"/>
      <c r="O193" s="338"/>
      <c r="P193" s="338"/>
      <c r="Q193" s="343" t="str">
        <f t="shared" si="67"/>
        <v>2011</v>
      </c>
      <c r="R193" s="342">
        <f t="shared" si="68"/>
        <v>4930</v>
      </c>
      <c r="S193" s="341">
        <f t="shared" si="69"/>
        <v>14862</v>
      </c>
      <c r="T193" s="341">
        <f t="shared" si="70"/>
        <v>18601</v>
      </c>
      <c r="U193" s="391"/>
      <c r="V193" s="391"/>
      <c r="W193" s="391"/>
      <c r="X193" s="391"/>
      <c r="Y193" s="391"/>
      <c r="Z193" s="391"/>
      <c r="AA193" s="391"/>
      <c r="AB193" s="391"/>
      <c r="AC193" s="391"/>
      <c r="AD193" s="391"/>
      <c r="AE193" s="391"/>
    </row>
    <row r="194" spans="1:31" ht="17.399999999999999" customHeight="1" x14ac:dyDescent="0.2">
      <c r="A194" s="888"/>
      <c r="B194" s="614" t="s">
        <v>27</v>
      </c>
      <c r="C194" s="423" t="s">
        <v>295</v>
      </c>
      <c r="D194" s="834">
        <f t="shared" si="64"/>
        <v>3600</v>
      </c>
      <c r="E194" s="798">
        <v>3600</v>
      </c>
      <c r="F194" s="799">
        <v>0</v>
      </c>
      <c r="G194" s="835">
        <f t="shared" si="71"/>
        <v>2658</v>
      </c>
      <c r="H194" s="806">
        <v>2658</v>
      </c>
      <c r="I194" s="807"/>
      <c r="J194" s="835">
        <f t="shared" si="65"/>
        <v>14004.94</v>
      </c>
      <c r="K194" s="413">
        <f>12113.41+1611.6</f>
        <v>13725.01</v>
      </c>
      <c r="L194" s="390">
        <v>279.93</v>
      </c>
      <c r="M194" s="734"/>
      <c r="N194" s="338"/>
      <c r="O194" s="338"/>
      <c r="P194" s="338"/>
      <c r="Q194" s="343" t="str">
        <f t="shared" si="67"/>
        <v>2012</v>
      </c>
      <c r="R194" s="342">
        <f t="shared" si="68"/>
        <v>3600</v>
      </c>
      <c r="S194" s="341">
        <f t="shared" si="69"/>
        <v>2658</v>
      </c>
      <c r="T194" s="341">
        <f t="shared" si="70"/>
        <v>14004.94</v>
      </c>
      <c r="U194" s="391"/>
      <c r="V194" s="391"/>
      <c r="W194" s="391"/>
      <c r="X194" s="391"/>
      <c r="Y194" s="391"/>
      <c r="Z194" s="391"/>
      <c r="AA194" s="391"/>
      <c r="AB194" s="391"/>
      <c r="AC194" s="391"/>
      <c r="AD194" s="391"/>
      <c r="AE194" s="391"/>
    </row>
    <row r="195" spans="1:31" ht="17.399999999999999" customHeight="1" x14ac:dyDescent="0.2">
      <c r="A195" s="888"/>
      <c r="B195" s="614" t="s">
        <v>27</v>
      </c>
      <c r="C195" s="423" t="s">
        <v>296</v>
      </c>
      <c r="D195" s="834">
        <f t="shared" si="64"/>
        <v>14087</v>
      </c>
      <c r="E195" s="798">
        <v>12687</v>
      </c>
      <c r="F195" s="799">
        <v>1400</v>
      </c>
      <c r="G195" s="835">
        <f t="shared" si="71"/>
        <v>11042</v>
      </c>
      <c r="H195" s="806">
        <v>9547</v>
      </c>
      <c r="I195" s="807">
        <v>1495</v>
      </c>
      <c r="J195" s="835">
        <f t="shared" si="65"/>
        <v>12646.59</v>
      </c>
      <c r="K195" s="413">
        <f>10465.23+434.65</f>
        <v>10899.88</v>
      </c>
      <c r="L195" s="390">
        <f>0+1746.71</f>
        <v>1746.71</v>
      </c>
      <c r="M195" s="734"/>
      <c r="N195" s="338"/>
      <c r="O195" s="338"/>
      <c r="P195" s="338"/>
      <c r="Q195" s="343" t="str">
        <f t="shared" si="67"/>
        <v>2013</v>
      </c>
      <c r="R195" s="342">
        <f t="shared" si="68"/>
        <v>14087</v>
      </c>
      <c r="S195" s="341">
        <f t="shared" si="69"/>
        <v>11042</v>
      </c>
      <c r="T195" s="341">
        <f t="shared" si="70"/>
        <v>12646.59</v>
      </c>
      <c r="U195" s="391"/>
      <c r="V195" s="391"/>
      <c r="W195" s="391"/>
      <c r="X195" s="391"/>
      <c r="Y195" s="391"/>
      <c r="Z195" s="391"/>
      <c r="AA195" s="391"/>
      <c r="AB195" s="391"/>
      <c r="AC195" s="391"/>
      <c r="AD195" s="391"/>
      <c r="AE195" s="391"/>
    </row>
    <row r="196" spans="1:31" ht="17.399999999999999" customHeight="1" x14ac:dyDescent="0.2">
      <c r="A196" s="888"/>
      <c r="B196" s="614" t="s">
        <v>27</v>
      </c>
      <c r="C196" s="423" t="s">
        <v>297</v>
      </c>
      <c r="D196" s="834">
        <f t="shared" si="64"/>
        <v>4322</v>
      </c>
      <c r="E196" s="798">
        <v>4322</v>
      </c>
      <c r="F196" s="799">
        <v>0</v>
      </c>
      <c r="G196" s="835">
        <f t="shared" si="71"/>
        <v>3456</v>
      </c>
      <c r="H196" s="806">
        <v>3456</v>
      </c>
      <c r="I196" s="807">
        <v>0</v>
      </c>
      <c r="J196" s="835">
        <f t="shared" si="65"/>
        <v>8760</v>
      </c>
      <c r="K196" s="413">
        <v>8760</v>
      </c>
      <c r="L196" s="390">
        <v>0</v>
      </c>
      <c r="M196" s="734"/>
      <c r="N196" s="338"/>
      <c r="O196" s="338"/>
      <c r="P196" s="338"/>
      <c r="Q196" s="343" t="str">
        <f t="shared" si="67"/>
        <v>2014</v>
      </c>
      <c r="R196" s="342">
        <f t="shared" si="68"/>
        <v>4322</v>
      </c>
      <c r="S196" s="341">
        <f t="shared" si="69"/>
        <v>3456</v>
      </c>
      <c r="T196" s="341">
        <f t="shared" si="70"/>
        <v>8760</v>
      </c>
      <c r="U196" s="391"/>
      <c r="V196" s="391"/>
      <c r="W196" s="391"/>
      <c r="X196" s="391"/>
      <c r="Y196" s="391"/>
      <c r="Z196" s="391"/>
      <c r="AA196" s="391"/>
      <c r="AB196" s="391"/>
      <c r="AC196" s="391"/>
      <c r="AD196" s="391"/>
      <c r="AE196" s="391"/>
    </row>
    <row r="197" spans="1:31" ht="17.399999999999999" customHeight="1" x14ac:dyDescent="0.2">
      <c r="A197" s="888"/>
      <c r="B197" s="614" t="s">
        <v>27</v>
      </c>
      <c r="C197" s="423" t="s">
        <v>298</v>
      </c>
      <c r="D197" s="830">
        <f t="shared" si="64"/>
        <v>8000</v>
      </c>
      <c r="E197" s="800">
        <v>7100</v>
      </c>
      <c r="F197" s="801">
        <v>900</v>
      </c>
      <c r="G197" s="831">
        <f t="shared" si="71"/>
        <v>5532</v>
      </c>
      <c r="H197" s="808">
        <v>3894.11</v>
      </c>
      <c r="I197" s="809">
        <v>1637.89</v>
      </c>
      <c r="J197" s="831">
        <f t="shared" si="65"/>
        <v>17487.88</v>
      </c>
      <c r="K197" s="420">
        <v>16101.5</v>
      </c>
      <c r="L197" s="419">
        <v>1386.38</v>
      </c>
      <c r="M197" s="735"/>
      <c r="N197" s="338"/>
      <c r="O197" s="338"/>
      <c r="P197" s="338"/>
      <c r="Q197" s="343" t="str">
        <f t="shared" si="67"/>
        <v>2015</v>
      </c>
      <c r="R197" s="342">
        <f t="shared" si="68"/>
        <v>8000</v>
      </c>
      <c r="S197" s="341">
        <f t="shared" si="69"/>
        <v>5532</v>
      </c>
      <c r="T197" s="341">
        <f t="shared" si="70"/>
        <v>17487.88</v>
      </c>
      <c r="U197" s="350"/>
      <c r="V197" s="350"/>
      <c r="W197" s="350"/>
      <c r="X197" s="350"/>
      <c r="Y197" s="350"/>
      <c r="Z197" s="350"/>
      <c r="AA197" s="350"/>
      <c r="AB197" s="350"/>
      <c r="AC197" s="350"/>
      <c r="AD197" s="350"/>
      <c r="AE197" s="350"/>
    </row>
    <row r="198" spans="1:31" ht="17.399999999999999" customHeight="1" thickBot="1" x14ac:dyDescent="0.25">
      <c r="A198" s="889"/>
      <c r="B198" s="614" t="s">
        <v>27</v>
      </c>
      <c r="C198" s="423" t="s">
        <v>438</v>
      </c>
      <c r="D198" s="836">
        <f t="shared" si="64"/>
        <v>5192</v>
      </c>
      <c r="E198" s="802">
        <v>5192</v>
      </c>
      <c r="F198" s="803">
        <v>0</v>
      </c>
      <c r="G198" s="837">
        <f t="shared" si="71"/>
        <v>0</v>
      </c>
      <c r="H198" s="810"/>
      <c r="I198" s="811"/>
      <c r="J198" s="837">
        <f t="shared" si="65"/>
        <v>0</v>
      </c>
      <c r="K198" s="775"/>
      <c r="L198" s="776"/>
      <c r="M198" s="735"/>
      <c r="N198" s="338"/>
      <c r="O198" s="338"/>
      <c r="P198" s="338"/>
      <c r="Q198" s="343" t="str">
        <f t="shared" si="67"/>
        <v>2016</v>
      </c>
      <c r="R198" s="342">
        <f t="shared" si="68"/>
        <v>5192</v>
      </c>
      <c r="S198" s="341">
        <f t="shared" si="69"/>
        <v>0</v>
      </c>
      <c r="T198" s="341">
        <f t="shared" si="70"/>
        <v>0</v>
      </c>
      <c r="U198" s="350"/>
      <c r="V198" s="350"/>
      <c r="W198" s="350"/>
      <c r="X198" s="350"/>
      <c r="Y198" s="350"/>
      <c r="Z198" s="350"/>
      <c r="AA198" s="350"/>
      <c r="AB198" s="350"/>
      <c r="AC198" s="350"/>
      <c r="AD198" s="350"/>
      <c r="AE198" s="350"/>
    </row>
    <row r="199" spans="1:31" ht="9.6" customHeight="1" thickBot="1" x14ac:dyDescent="0.25">
      <c r="A199" s="772"/>
      <c r="B199" s="795" t="s">
        <v>530</v>
      </c>
      <c r="C199" s="788"/>
      <c r="D199" s="789"/>
      <c r="E199" s="790"/>
      <c r="F199" s="791"/>
      <c r="G199" s="792"/>
      <c r="H199" s="793"/>
      <c r="I199" s="794"/>
      <c r="J199" s="792"/>
      <c r="K199" s="790"/>
      <c r="L199" s="791"/>
      <c r="M199" s="735"/>
      <c r="N199" s="338"/>
      <c r="O199" s="338"/>
      <c r="P199" s="338"/>
      <c r="Q199" s="785"/>
      <c r="R199" s="786"/>
      <c r="S199" s="787"/>
      <c r="T199" s="787"/>
      <c r="U199" s="350"/>
      <c r="V199" s="350"/>
      <c r="W199" s="350"/>
      <c r="X199" s="350"/>
      <c r="Y199" s="350"/>
      <c r="Z199" s="350"/>
      <c r="AA199" s="350"/>
      <c r="AB199" s="350"/>
      <c r="AC199" s="350"/>
      <c r="AD199" s="350"/>
      <c r="AE199" s="350"/>
    </row>
    <row r="200" spans="1:31" ht="51" customHeight="1" thickTop="1" thickBot="1" x14ac:dyDescent="0.25">
      <c r="A200" s="890" t="s">
        <v>394</v>
      </c>
      <c r="B200" s="777" t="s">
        <v>204</v>
      </c>
      <c r="C200" s="778" t="s">
        <v>384</v>
      </c>
      <c r="D200" s="779" t="s">
        <v>383</v>
      </c>
      <c r="E200" s="780" t="s">
        <v>390</v>
      </c>
      <c r="F200" s="781" t="s">
        <v>389</v>
      </c>
      <c r="G200" s="844" t="s">
        <v>382</v>
      </c>
      <c r="H200" s="845" t="s">
        <v>388</v>
      </c>
      <c r="I200" s="846" t="s">
        <v>387</v>
      </c>
      <c r="J200" s="782" t="s">
        <v>381</v>
      </c>
      <c r="K200" s="783" t="s">
        <v>393</v>
      </c>
      <c r="L200" s="784" t="s">
        <v>392</v>
      </c>
      <c r="Q200" s="349" t="s">
        <v>384</v>
      </c>
      <c r="R200" s="348" t="s">
        <v>383</v>
      </c>
      <c r="S200" s="347" t="s">
        <v>382</v>
      </c>
      <c r="T200" s="346" t="s">
        <v>381</v>
      </c>
    </row>
    <row r="201" spans="1:31" ht="16.5" hidden="1" customHeight="1" outlineLevel="1" x14ac:dyDescent="0.2">
      <c r="A201" s="891"/>
      <c r="B201" s="614" t="s">
        <v>429</v>
      </c>
      <c r="C201" s="435" t="s">
        <v>434</v>
      </c>
      <c r="D201" s="405">
        <f t="shared" ref="D201:L201" si="72">SUM(D2+D24+D46)</f>
        <v>40697</v>
      </c>
      <c r="E201" s="404">
        <f t="shared" si="72"/>
        <v>40697</v>
      </c>
      <c r="F201" s="403">
        <f t="shared" si="72"/>
        <v>0</v>
      </c>
      <c r="G201" s="402">
        <f t="shared" si="72"/>
        <v>86134.14</v>
      </c>
      <c r="H201" s="401">
        <f t="shared" si="72"/>
        <v>80129.62</v>
      </c>
      <c r="I201" s="400">
        <f t="shared" si="72"/>
        <v>6004.52</v>
      </c>
      <c r="J201" s="402">
        <f t="shared" si="72"/>
        <v>69104.98</v>
      </c>
      <c r="K201" s="401">
        <f t="shared" si="72"/>
        <v>69102.02</v>
      </c>
      <c r="L201" s="400">
        <f t="shared" si="72"/>
        <v>2.96</v>
      </c>
      <c r="M201" s="734">
        <f t="shared" ref="M201:M209" si="73">SUM(K201:L201)</f>
        <v>69104.98000000001</v>
      </c>
      <c r="N201" s="338"/>
      <c r="O201" s="338"/>
      <c r="P201" s="338"/>
      <c r="Q201" s="345" t="str">
        <f t="shared" ref="Q201:Q221" si="74">+C201</f>
        <v>1996</v>
      </c>
      <c r="R201" s="342">
        <f t="shared" ref="R201:R221" si="75">+D201</f>
        <v>40697</v>
      </c>
      <c r="S201" s="341">
        <f t="shared" ref="S201:S221" si="76">+G201</f>
        <v>86134.14</v>
      </c>
      <c r="T201" s="341">
        <f t="shared" ref="T201:T221" si="77">+J201</f>
        <v>69104.98</v>
      </c>
      <c r="U201" s="391"/>
      <c r="V201" s="391"/>
      <c r="W201" s="391"/>
      <c r="X201" s="391"/>
      <c r="Y201" s="391"/>
      <c r="Z201" s="391"/>
      <c r="AA201" s="391"/>
      <c r="AB201" s="391"/>
      <c r="AC201" s="391"/>
      <c r="AD201" s="391"/>
      <c r="AE201" s="391"/>
    </row>
    <row r="202" spans="1:31" ht="16.5" hidden="1" customHeight="1" outlineLevel="1" x14ac:dyDescent="0.2">
      <c r="A202" s="891"/>
      <c r="B202" s="614" t="s">
        <v>429</v>
      </c>
      <c r="C202" s="399" t="s">
        <v>435</v>
      </c>
      <c r="D202" s="398">
        <f t="shared" ref="D202:L202" si="78">SUM(D3+D25+D47)</f>
        <v>105700</v>
      </c>
      <c r="E202" s="397">
        <f t="shared" si="78"/>
        <v>105700</v>
      </c>
      <c r="F202" s="396">
        <f t="shared" si="78"/>
        <v>0</v>
      </c>
      <c r="G202" s="395">
        <f t="shared" si="78"/>
        <v>122115</v>
      </c>
      <c r="H202" s="394">
        <f t="shared" si="78"/>
        <v>119903.45999999999</v>
      </c>
      <c r="I202" s="393">
        <f t="shared" si="78"/>
        <v>2211.54</v>
      </c>
      <c r="J202" s="395">
        <f t="shared" si="78"/>
        <v>118531.81</v>
      </c>
      <c r="K202" s="394">
        <f t="shared" si="78"/>
        <v>115934.65</v>
      </c>
      <c r="L202" s="393">
        <f t="shared" si="78"/>
        <v>2597.16</v>
      </c>
      <c r="M202" s="734">
        <f t="shared" si="73"/>
        <v>118531.81</v>
      </c>
      <c r="N202" s="338"/>
      <c r="O202" s="338"/>
      <c r="P202" s="338"/>
      <c r="Q202" s="345" t="str">
        <f t="shared" si="74"/>
        <v>1997</v>
      </c>
      <c r="R202" s="342">
        <f t="shared" si="75"/>
        <v>105700</v>
      </c>
      <c r="S202" s="341">
        <f t="shared" si="76"/>
        <v>122115</v>
      </c>
      <c r="T202" s="341">
        <f t="shared" si="77"/>
        <v>118531.81</v>
      </c>
      <c r="U202" s="391"/>
      <c r="V202" s="391"/>
      <c r="W202" s="391"/>
      <c r="X202" s="391"/>
      <c r="Y202" s="391"/>
      <c r="Z202" s="391"/>
      <c r="AA202" s="391"/>
      <c r="AB202" s="391"/>
      <c r="AC202" s="391"/>
      <c r="AD202" s="391"/>
      <c r="AE202" s="391"/>
    </row>
    <row r="203" spans="1:31" ht="16.5" hidden="1" customHeight="1" outlineLevel="1" x14ac:dyDescent="0.2">
      <c r="A203" s="891"/>
      <c r="B203" s="614" t="s">
        <v>429</v>
      </c>
      <c r="C203" s="399" t="s">
        <v>436</v>
      </c>
      <c r="D203" s="398">
        <f t="shared" ref="D203:L203" si="79">SUM(D4+D26+D48)</f>
        <v>110985</v>
      </c>
      <c r="E203" s="397">
        <f t="shared" si="79"/>
        <v>110654</v>
      </c>
      <c r="F203" s="396">
        <f t="shared" si="79"/>
        <v>331</v>
      </c>
      <c r="G203" s="395">
        <f t="shared" si="79"/>
        <v>84084.65</v>
      </c>
      <c r="H203" s="394">
        <f t="shared" si="79"/>
        <v>84032</v>
      </c>
      <c r="I203" s="393">
        <f t="shared" si="79"/>
        <v>52.65</v>
      </c>
      <c r="J203" s="395">
        <f t="shared" si="79"/>
        <v>72594.23</v>
      </c>
      <c r="K203" s="394">
        <f t="shared" si="79"/>
        <v>72217.600000000006</v>
      </c>
      <c r="L203" s="393">
        <f t="shared" si="79"/>
        <v>376.63</v>
      </c>
      <c r="M203" s="734">
        <f t="shared" si="73"/>
        <v>72594.23000000001</v>
      </c>
      <c r="N203" s="338"/>
      <c r="O203" s="338"/>
      <c r="P203" s="338"/>
      <c r="Q203" s="345" t="str">
        <f t="shared" si="74"/>
        <v>1998</v>
      </c>
      <c r="R203" s="342">
        <f t="shared" si="75"/>
        <v>110985</v>
      </c>
      <c r="S203" s="341">
        <f t="shared" si="76"/>
        <v>84084.65</v>
      </c>
      <c r="T203" s="341">
        <f t="shared" si="77"/>
        <v>72594.23</v>
      </c>
      <c r="U203" s="391"/>
      <c r="V203" s="391"/>
      <c r="W203" s="391"/>
      <c r="X203" s="391"/>
      <c r="Y203" s="391"/>
      <c r="Z203" s="391"/>
      <c r="AA203" s="391"/>
      <c r="AB203" s="391"/>
      <c r="AC203" s="391"/>
      <c r="AD203" s="391"/>
      <c r="AE203" s="391"/>
    </row>
    <row r="204" spans="1:31" ht="16.5" hidden="1" customHeight="1" outlineLevel="1" x14ac:dyDescent="0.2">
      <c r="A204" s="891"/>
      <c r="B204" s="614" t="s">
        <v>429</v>
      </c>
      <c r="C204" s="389" t="s">
        <v>437</v>
      </c>
      <c r="D204" s="388">
        <f t="shared" ref="D204:L204" si="80">SUM(D5+D27+D49)</f>
        <v>122935</v>
      </c>
      <c r="E204" s="386">
        <f t="shared" si="80"/>
        <v>122215</v>
      </c>
      <c r="F204" s="381">
        <f t="shared" si="80"/>
        <v>720</v>
      </c>
      <c r="G204" s="383">
        <f t="shared" si="80"/>
        <v>146670.79999999999</v>
      </c>
      <c r="H204" s="384">
        <f t="shared" si="80"/>
        <v>146407.35</v>
      </c>
      <c r="I204" s="392">
        <f t="shared" si="80"/>
        <v>263.45</v>
      </c>
      <c r="J204" s="383">
        <f t="shared" si="80"/>
        <v>104260.91</v>
      </c>
      <c r="K204" s="384">
        <f t="shared" si="80"/>
        <v>103422.36</v>
      </c>
      <c r="L204" s="392">
        <f t="shared" si="80"/>
        <v>838.55</v>
      </c>
      <c r="M204" s="734">
        <f t="shared" si="73"/>
        <v>104260.91</v>
      </c>
      <c r="N204" s="338"/>
      <c r="O204" s="338"/>
      <c r="P204" s="338"/>
      <c r="Q204" s="345" t="str">
        <f t="shared" si="74"/>
        <v>1999</v>
      </c>
      <c r="R204" s="342">
        <f t="shared" si="75"/>
        <v>122935</v>
      </c>
      <c r="S204" s="341">
        <f t="shared" si="76"/>
        <v>146670.79999999999</v>
      </c>
      <c r="T204" s="341">
        <f t="shared" si="77"/>
        <v>104260.91</v>
      </c>
      <c r="U204" s="391"/>
      <c r="V204" s="391"/>
      <c r="W204" s="391"/>
      <c r="X204" s="391"/>
      <c r="Y204" s="391"/>
      <c r="Z204" s="391"/>
      <c r="AA204" s="391"/>
      <c r="AB204" s="391"/>
      <c r="AC204" s="391"/>
      <c r="AD204" s="391"/>
      <c r="AE204" s="391"/>
    </row>
    <row r="205" spans="1:31" ht="17.399999999999999" hidden="1" customHeight="1" outlineLevel="1" x14ac:dyDescent="0.2">
      <c r="A205" s="891"/>
      <c r="B205" s="614" t="s">
        <v>429</v>
      </c>
      <c r="C205" s="428" t="s">
        <v>283</v>
      </c>
      <c r="D205" s="388">
        <f t="shared" ref="D205:L205" si="81">SUM(D6+D28+D50)</f>
        <v>170049</v>
      </c>
      <c r="E205" s="384">
        <f t="shared" si="81"/>
        <v>167153</v>
      </c>
      <c r="F205" s="392">
        <f t="shared" si="81"/>
        <v>2896</v>
      </c>
      <c r="G205" s="383">
        <f t="shared" si="81"/>
        <v>145621</v>
      </c>
      <c r="H205" s="384">
        <f t="shared" si="81"/>
        <v>144525.79999999999</v>
      </c>
      <c r="I205" s="392">
        <f t="shared" si="81"/>
        <v>1095.2</v>
      </c>
      <c r="J205" s="383">
        <f t="shared" si="81"/>
        <v>164242.35</v>
      </c>
      <c r="K205" s="380">
        <f t="shared" si="81"/>
        <v>163535.64000000001</v>
      </c>
      <c r="L205" s="379">
        <f t="shared" si="81"/>
        <v>706.71</v>
      </c>
      <c r="M205" s="734">
        <f t="shared" si="73"/>
        <v>164242.35</v>
      </c>
      <c r="N205" s="338"/>
      <c r="O205" s="338"/>
      <c r="P205" s="338"/>
      <c r="Q205" s="345" t="str">
        <f t="shared" si="74"/>
        <v>2000</v>
      </c>
      <c r="R205" s="342">
        <f t="shared" si="75"/>
        <v>170049</v>
      </c>
      <c r="S205" s="341">
        <f t="shared" si="76"/>
        <v>145621</v>
      </c>
      <c r="T205" s="341">
        <f t="shared" si="77"/>
        <v>164242.35</v>
      </c>
      <c r="U205" s="391"/>
      <c r="V205" s="391"/>
      <c r="W205" s="391"/>
      <c r="X205" s="391"/>
      <c r="Y205" s="391"/>
      <c r="Z205" s="391"/>
      <c r="AA205" s="391"/>
      <c r="AB205" s="391"/>
      <c r="AC205" s="391"/>
      <c r="AD205" s="391"/>
      <c r="AE205" s="391"/>
    </row>
    <row r="206" spans="1:31" ht="17.399999999999999" hidden="1" customHeight="1" outlineLevel="1" x14ac:dyDescent="0.2">
      <c r="A206" s="891"/>
      <c r="B206" s="614" t="s">
        <v>429</v>
      </c>
      <c r="C206" s="389" t="s">
        <v>284</v>
      </c>
      <c r="D206" s="388">
        <f t="shared" ref="D206:L206" si="82">SUM(D7+D29+D51)</f>
        <v>159650</v>
      </c>
      <c r="E206" s="384">
        <f t="shared" si="82"/>
        <v>157110.54999999999</v>
      </c>
      <c r="F206" s="392">
        <f t="shared" si="82"/>
        <v>2539.4499999999998</v>
      </c>
      <c r="G206" s="383">
        <f t="shared" si="82"/>
        <v>150032</v>
      </c>
      <c r="H206" s="384">
        <f t="shared" si="82"/>
        <v>148100.22</v>
      </c>
      <c r="I206" s="392">
        <f t="shared" si="82"/>
        <v>1931.78</v>
      </c>
      <c r="J206" s="383">
        <f t="shared" si="82"/>
        <v>150376.53999999998</v>
      </c>
      <c r="K206" s="380">
        <f t="shared" si="82"/>
        <v>150006.53999999998</v>
      </c>
      <c r="L206" s="379">
        <f t="shared" si="82"/>
        <v>370</v>
      </c>
      <c r="M206" s="734">
        <f t="shared" si="73"/>
        <v>150376.53999999998</v>
      </c>
      <c r="N206" s="338"/>
      <c r="O206" s="338"/>
      <c r="P206" s="338"/>
      <c r="Q206" s="343" t="str">
        <f t="shared" si="74"/>
        <v>2001</v>
      </c>
      <c r="R206" s="342">
        <f t="shared" si="75"/>
        <v>159650</v>
      </c>
      <c r="S206" s="341">
        <f t="shared" si="76"/>
        <v>150032</v>
      </c>
      <c r="T206" s="341">
        <f t="shared" si="77"/>
        <v>150376.53999999998</v>
      </c>
      <c r="U206" s="391"/>
      <c r="V206" s="391"/>
      <c r="W206" s="391"/>
      <c r="X206" s="391"/>
      <c r="Y206" s="391"/>
      <c r="Z206" s="391"/>
      <c r="AA206" s="391"/>
      <c r="AB206" s="391"/>
      <c r="AC206" s="391"/>
      <c r="AD206" s="391"/>
      <c r="AE206" s="391"/>
    </row>
    <row r="207" spans="1:31" ht="17.399999999999999" hidden="1" customHeight="1" outlineLevel="1" x14ac:dyDescent="0.2">
      <c r="A207" s="891"/>
      <c r="B207" s="614" t="s">
        <v>429</v>
      </c>
      <c r="C207" s="389" t="s">
        <v>285</v>
      </c>
      <c r="D207" s="388">
        <f t="shared" ref="D207:L207" si="83">SUM(D8+D30+D52)</f>
        <v>144900</v>
      </c>
      <c r="E207" s="384">
        <f t="shared" si="83"/>
        <v>144900</v>
      </c>
      <c r="F207" s="392">
        <f t="shared" si="83"/>
        <v>0</v>
      </c>
      <c r="G207" s="383">
        <f t="shared" si="83"/>
        <v>156707</v>
      </c>
      <c r="H207" s="384">
        <f t="shared" si="83"/>
        <v>156707</v>
      </c>
      <c r="I207" s="392">
        <f t="shared" si="83"/>
        <v>0</v>
      </c>
      <c r="J207" s="383">
        <f t="shared" si="83"/>
        <v>175344.55</v>
      </c>
      <c r="K207" s="380">
        <f t="shared" si="83"/>
        <v>175073.37</v>
      </c>
      <c r="L207" s="379">
        <f t="shared" si="83"/>
        <v>271.18</v>
      </c>
      <c r="M207" s="734">
        <f t="shared" si="73"/>
        <v>175344.55</v>
      </c>
      <c r="N207" s="338"/>
      <c r="O207" s="338"/>
      <c r="P207" s="338"/>
      <c r="Q207" s="343" t="str">
        <f t="shared" si="74"/>
        <v>2002</v>
      </c>
      <c r="R207" s="342">
        <f t="shared" si="75"/>
        <v>144900</v>
      </c>
      <c r="S207" s="341">
        <f t="shared" si="76"/>
        <v>156707</v>
      </c>
      <c r="T207" s="341">
        <f t="shared" si="77"/>
        <v>175344.55</v>
      </c>
      <c r="U207" s="391"/>
      <c r="V207" s="391"/>
      <c r="W207" s="391"/>
      <c r="X207" s="391"/>
      <c r="Y207" s="391"/>
      <c r="Z207" s="391"/>
      <c r="AA207" s="391"/>
      <c r="AB207" s="391"/>
      <c r="AC207" s="391"/>
      <c r="AD207" s="391"/>
      <c r="AE207" s="391"/>
    </row>
    <row r="208" spans="1:31" ht="17.399999999999999" hidden="1" customHeight="1" outlineLevel="1" x14ac:dyDescent="0.2">
      <c r="A208" s="891"/>
      <c r="B208" s="614" t="s">
        <v>429</v>
      </c>
      <c r="C208" s="389" t="s">
        <v>286</v>
      </c>
      <c r="D208" s="388">
        <f t="shared" ref="D208:L208" si="84">SUM(D9+D31+D53)</f>
        <v>161296</v>
      </c>
      <c r="E208" s="384">
        <f t="shared" si="84"/>
        <v>161076</v>
      </c>
      <c r="F208" s="392">
        <f t="shared" si="84"/>
        <v>220</v>
      </c>
      <c r="G208" s="383">
        <f t="shared" si="84"/>
        <v>197233</v>
      </c>
      <c r="H208" s="384">
        <f t="shared" si="84"/>
        <v>195729.13</v>
      </c>
      <c r="I208" s="392">
        <f t="shared" si="84"/>
        <v>1503.8700000000001</v>
      </c>
      <c r="J208" s="383">
        <f t="shared" si="84"/>
        <v>204876.63999999998</v>
      </c>
      <c r="K208" s="380">
        <f t="shared" si="84"/>
        <v>203250.34</v>
      </c>
      <c r="L208" s="379">
        <f t="shared" si="84"/>
        <v>1626.3</v>
      </c>
      <c r="M208" s="734">
        <f t="shared" si="73"/>
        <v>204876.63999999998</v>
      </c>
      <c r="N208" s="338"/>
      <c r="O208" s="338"/>
      <c r="P208" s="338"/>
      <c r="Q208" s="343" t="str">
        <f t="shared" si="74"/>
        <v>2003</v>
      </c>
      <c r="R208" s="342">
        <f t="shared" si="75"/>
        <v>161296</v>
      </c>
      <c r="S208" s="341">
        <f t="shared" si="76"/>
        <v>197233</v>
      </c>
      <c r="T208" s="341">
        <f t="shared" si="77"/>
        <v>204876.63999999998</v>
      </c>
      <c r="U208" s="391"/>
      <c r="V208" s="391"/>
      <c r="W208" s="391"/>
      <c r="X208" s="391"/>
      <c r="Y208" s="391"/>
      <c r="Z208" s="391"/>
      <c r="AA208" s="391"/>
      <c r="AB208" s="391"/>
      <c r="AC208" s="391"/>
      <c r="AD208" s="391"/>
      <c r="AE208" s="391"/>
    </row>
    <row r="209" spans="1:31" ht="17.399999999999999" hidden="1" customHeight="1" outlineLevel="1" x14ac:dyDescent="0.2">
      <c r="A209" s="891"/>
      <c r="B209" s="614" t="s">
        <v>429</v>
      </c>
      <c r="C209" s="389" t="s">
        <v>287</v>
      </c>
      <c r="D209" s="388">
        <f t="shared" ref="D209:L209" si="85">SUM(D10+D32+D54)</f>
        <v>206810</v>
      </c>
      <c r="E209" s="384">
        <f t="shared" si="85"/>
        <v>206700</v>
      </c>
      <c r="F209" s="392">
        <f t="shared" si="85"/>
        <v>110</v>
      </c>
      <c r="G209" s="383">
        <f t="shared" si="85"/>
        <v>233379</v>
      </c>
      <c r="H209" s="384">
        <f t="shared" si="85"/>
        <v>233042.48</v>
      </c>
      <c r="I209" s="392">
        <f t="shared" si="85"/>
        <v>336.52</v>
      </c>
      <c r="J209" s="383">
        <f t="shared" si="85"/>
        <v>194292.27</v>
      </c>
      <c r="K209" s="380">
        <f t="shared" si="85"/>
        <v>193049.06</v>
      </c>
      <c r="L209" s="379">
        <f t="shared" si="85"/>
        <v>1243.21</v>
      </c>
      <c r="M209" s="734">
        <f t="shared" si="73"/>
        <v>194292.27</v>
      </c>
      <c r="N209" s="338"/>
      <c r="O209" s="338"/>
      <c r="P209" s="338"/>
      <c r="Q209" s="343" t="str">
        <f t="shared" si="74"/>
        <v>2004</v>
      </c>
      <c r="R209" s="342">
        <f t="shared" si="75"/>
        <v>206810</v>
      </c>
      <c r="S209" s="341">
        <f t="shared" si="76"/>
        <v>233379</v>
      </c>
      <c r="T209" s="341">
        <f t="shared" si="77"/>
        <v>194292.27</v>
      </c>
      <c r="U209" s="391"/>
      <c r="V209" s="391"/>
      <c r="W209" s="391"/>
      <c r="X209" s="391"/>
      <c r="Y209" s="391"/>
      <c r="Z209" s="391"/>
      <c r="AA209" s="391"/>
      <c r="AB209" s="391"/>
      <c r="AC209" s="391"/>
      <c r="AD209" s="391"/>
      <c r="AE209" s="391"/>
    </row>
    <row r="210" spans="1:31" ht="17.399999999999999" hidden="1" customHeight="1" outlineLevel="1" x14ac:dyDescent="0.2">
      <c r="A210" s="891"/>
      <c r="B210" s="614" t="s">
        <v>429</v>
      </c>
      <c r="C210" s="389" t="s">
        <v>288</v>
      </c>
      <c r="D210" s="388">
        <f t="shared" ref="D210:L210" si="86">SUM(D11+D33+D55)</f>
        <v>193540</v>
      </c>
      <c r="E210" s="384">
        <f t="shared" si="86"/>
        <v>191472</v>
      </c>
      <c r="F210" s="392">
        <f t="shared" si="86"/>
        <v>2068</v>
      </c>
      <c r="G210" s="383">
        <f t="shared" si="86"/>
        <v>169399</v>
      </c>
      <c r="H210" s="384">
        <f t="shared" si="86"/>
        <v>169399</v>
      </c>
      <c r="I210" s="392">
        <f t="shared" si="86"/>
        <v>0</v>
      </c>
      <c r="J210" s="383">
        <f t="shared" si="86"/>
        <v>203546.48999999996</v>
      </c>
      <c r="K210" s="380">
        <f t="shared" si="86"/>
        <v>202765.05999999997</v>
      </c>
      <c r="L210" s="379">
        <f t="shared" si="86"/>
        <v>781.43</v>
      </c>
      <c r="M210" s="734"/>
      <c r="N210" s="338"/>
      <c r="O210" s="338"/>
      <c r="P210" s="338"/>
      <c r="Q210" s="343" t="str">
        <f t="shared" si="74"/>
        <v>2005</v>
      </c>
      <c r="R210" s="342">
        <f t="shared" si="75"/>
        <v>193540</v>
      </c>
      <c r="S210" s="341">
        <f t="shared" si="76"/>
        <v>169399</v>
      </c>
      <c r="T210" s="341">
        <f t="shared" si="77"/>
        <v>203546.48999999996</v>
      </c>
      <c r="U210" s="391"/>
      <c r="V210" s="391"/>
      <c r="W210" s="391"/>
      <c r="X210" s="391"/>
      <c r="Y210" s="391"/>
      <c r="Z210" s="391"/>
      <c r="AA210" s="391"/>
      <c r="AB210" s="391"/>
      <c r="AC210" s="391"/>
      <c r="AD210" s="391"/>
      <c r="AE210" s="391"/>
    </row>
    <row r="211" spans="1:31" ht="17.399999999999999" customHeight="1" collapsed="1" x14ac:dyDescent="0.2">
      <c r="A211" s="891"/>
      <c r="B211" s="614" t="s">
        <v>429</v>
      </c>
      <c r="C211" s="389" t="s">
        <v>289</v>
      </c>
      <c r="D211" s="824">
        <f t="shared" ref="D211:L211" si="87">SUM(D12+D34+D56)</f>
        <v>242632</v>
      </c>
      <c r="E211" s="384">
        <f t="shared" si="87"/>
        <v>240631.2</v>
      </c>
      <c r="F211" s="392">
        <f t="shared" si="87"/>
        <v>2000.8</v>
      </c>
      <c r="G211" s="827">
        <f t="shared" si="87"/>
        <v>221222.91999999998</v>
      </c>
      <c r="H211" s="386">
        <f t="shared" si="87"/>
        <v>213930.6</v>
      </c>
      <c r="I211" s="381">
        <f t="shared" si="87"/>
        <v>7292.32</v>
      </c>
      <c r="J211" s="827">
        <f t="shared" si="87"/>
        <v>224973.12999999998</v>
      </c>
      <c r="K211" s="380">
        <f t="shared" si="87"/>
        <v>224163.23</v>
      </c>
      <c r="L211" s="379">
        <f t="shared" si="87"/>
        <v>809.9</v>
      </c>
      <c r="M211" s="734"/>
      <c r="N211" s="338"/>
      <c r="O211" s="338"/>
      <c r="P211" s="338"/>
      <c r="Q211" s="343" t="str">
        <f t="shared" si="74"/>
        <v>2006</v>
      </c>
      <c r="R211" s="342">
        <f t="shared" si="75"/>
        <v>242632</v>
      </c>
      <c r="S211" s="341">
        <f t="shared" si="76"/>
        <v>221222.91999999998</v>
      </c>
      <c r="T211" s="341">
        <f t="shared" si="77"/>
        <v>224973.12999999998</v>
      </c>
      <c r="U211" s="391"/>
      <c r="V211" s="391"/>
      <c r="W211" s="391"/>
      <c r="X211" s="391"/>
      <c r="Y211" s="391"/>
      <c r="Z211" s="391"/>
      <c r="AA211" s="391"/>
      <c r="AB211" s="391"/>
      <c r="AC211" s="391"/>
      <c r="AD211" s="391"/>
      <c r="AE211" s="391"/>
    </row>
    <row r="212" spans="1:31" ht="17.399999999999999" customHeight="1" x14ac:dyDescent="0.2">
      <c r="A212" s="891"/>
      <c r="B212" s="614" t="s">
        <v>429</v>
      </c>
      <c r="C212" s="389" t="s">
        <v>290</v>
      </c>
      <c r="D212" s="824">
        <f t="shared" ref="D212:L212" si="88">SUM(D13+D35+D57)</f>
        <v>172800</v>
      </c>
      <c r="E212" s="384">
        <f t="shared" si="88"/>
        <v>170469</v>
      </c>
      <c r="F212" s="392">
        <f t="shared" si="88"/>
        <v>2331</v>
      </c>
      <c r="G212" s="827">
        <f t="shared" si="88"/>
        <v>208531</v>
      </c>
      <c r="H212" s="386">
        <f t="shared" si="88"/>
        <v>208531</v>
      </c>
      <c r="I212" s="381">
        <f t="shared" si="88"/>
        <v>0</v>
      </c>
      <c r="J212" s="827">
        <f t="shared" si="88"/>
        <v>197002.33000000002</v>
      </c>
      <c r="K212" s="380">
        <f t="shared" si="88"/>
        <v>193047.11</v>
      </c>
      <c r="L212" s="379">
        <f t="shared" si="88"/>
        <v>3955.2200000000003</v>
      </c>
      <c r="N212" s="338"/>
      <c r="O212" s="338"/>
      <c r="P212" s="338"/>
      <c r="Q212" s="343" t="str">
        <f t="shared" si="74"/>
        <v>2007</v>
      </c>
      <c r="R212" s="342">
        <f t="shared" si="75"/>
        <v>172800</v>
      </c>
      <c r="S212" s="341">
        <f t="shared" si="76"/>
        <v>208531</v>
      </c>
      <c r="T212" s="341">
        <f t="shared" si="77"/>
        <v>197002.33000000002</v>
      </c>
    </row>
    <row r="213" spans="1:31" ht="17.399999999999999" customHeight="1" x14ac:dyDescent="0.2">
      <c r="A213" s="891"/>
      <c r="B213" s="614" t="s">
        <v>429</v>
      </c>
      <c r="C213" s="389" t="s">
        <v>291</v>
      </c>
      <c r="D213" s="824">
        <f t="shared" ref="D213:L213" si="89">SUM(D14+D36+D58)</f>
        <v>167700</v>
      </c>
      <c r="E213" s="384">
        <f t="shared" si="89"/>
        <v>167040</v>
      </c>
      <c r="F213" s="392">
        <f t="shared" si="89"/>
        <v>660</v>
      </c>
      <c r="G213" s="827">
        <f t="shared" si="89"/>
        <v>169382</v>
      </c>
      <c r="H213" s="386">
        <f t="shared" si="89"/>
        <v>165372</v>
      </c>
      <c r="I213" s="381">
        <f t="shared" si="89"/>
        <v>4010</v>
      </c>
      <c r="J213" s="827">
        <f t="shared" si="89"/>
        <v>194512</v>
      </c>
      <c r="K213" s="380">
        <f t="shared" si="89"/>
        <v>190440</v>
      </c>
      <c r="L213" s="379">
        <f t="shared" si="89"/>
        <v>4072</v>
      </c>
      <c r="N213" s="338"/>
      <c r="O213" s="338"/>
      <c r="P213" s="338"/>
      <c r="Q213" s="343" t="str">
        <f t="shared" si="74"/>
        <v>2008</v>
      </c>
      <c r="R213" s="342">
        <f t="shared" si="75"/>
        <v>167700</v>
      </c>
      <c r="S213" s="341">
        <f t="shared" si="76"/>
        <v>169382</v>
      </c>
      <c r="T213" s="341">
        <f t="shared" si="77"/>
        <v>194512</v>
      </c>
    </row>
    <row r="214" spans="1:31" ht="17.399999999999999" customHeight="1" x14ac:dyDescent="0.2">
      <c r="A214" s="891"/>
      <c r="B214" s="614" t="s">
        <v>429</v>
      </c>
      <c r="C214" s="389" t="s">
        <v>292</v>
      </c>
      <c r="D214" s="824">
        <f t="shared" ref="D214:L214" si="90">SUM(D15+D37+D59)</f>
        <v>175145</v>
      </c>
      <c r="E214" s="384">
        <f t="shared" si="90"/>
        <v>173025</v>
      </c>
      <c r="F214" s="392">
        <f t="shared" si="90"/>
        <v>2120</v>
      </c>
      <c r="G214" s="827">
        <f t="shared" si="90"/>
        <v>168781</v>
      </c>
      <c r="H214" s="386">
        <f t="shared" si="90"/>
        <v>166977.46000000002</v>
      </c>
      <c r="I214" s="381">
        <f t="shared" si="90"/>
        <v>1803.54</v>
      </c>
      <c r="J214" s="827">
        <f t="shared" si="90"/>
        <v>194477.57</v>
      </c>
      <c r="K214" s="380">
        <f t="shared" si="90"/>
        <v>193049.35</v>
      </c>
      <c r="L214" s="379">
        <f t="shared" si="90"/>
        <v>1428.2199999999998</v>
      </c>
      <c r="N214" s="338"/>
      <c r="O214" s="338"/>
      <c r="P214" s="338"/>
      <c r="Q214" s="343" t="str">
        <f t="shared" si="74"/>
        <v>2009</v>
      </c>
      <c r="R214" s="342">
        <f t="shared" si="75"/>
        <v>175145</v>
      </c>
      <c r="S214" s="341">
        <f t="shared" si="76"/>
        <v>168781</v>
      </c>
      <c r="T214" s="341">
        <f t="shared" si="77"/>
        <v>194477.57</v>
      </c>
    </row>
    <row r="215" spans="1:31" ht="17.399999999999999" customHeight="1" x14ac:dyDescent="0.2">
      <c r="A215" s="891"/>
      <c r="B215" s="614" t="s">
        <v>429</v>
      </c>
      <c r="C215" s="389" t="s">
        <v>293</v>
      </c>
      <c r="D215" s="824">
        <f t="shared" ref="D215:L215" si="91">SUM(D16+D38+D60)</f>
        <v>158766</v>
      </c>
      <c r="E215" s="384">
        <f t="shared" si="91"/>
        <v>158766</v>
      </c>
      <c r="F215" s="392">
        <f t="shared" si="91"/>
        <v>0</v>
      </c>
      <c r="G215" s="827">
        <f t="shared" si="91"/>
        <v>164854</v>
      </c>
      <c r="H215" s="386">
        <f t="shared" si="91"/>
        <v>164854</v>
      </c>
      <c r="I215" s="381">
        <f t="shared" si="91"/>
        <v>0</v>
      </c>
      <c r="J215" s="827">
        <f t="shared" si="91"/>
        <v>216108.06</v>
      </c>
      <c r="K215" s="380">
        <f t="shared" si="91"/>
        <v>214970</v>
      </c>
      <c r="L215" s="379">
        <f t="shared" si="91"/>
        <v>1138.06</v>
      </c>
      <c r="N215" s="338"/>
      <c r="O215" s="338"/>
      <c r="P215" s="338"/>
      <c r="Q215" s="343" t="str">
        <f t="shared" si="74"/>
        <v>2010</v>
      </c>
      <c r="R215" s="342">
        <f t="shared" si="75"/>
        <v>158766</v>
      </c>
      <c r="S215" s="341">
        <f t="shared" si="76"/>
        <v>164854</v>
      </c>
      <c r="T215" s="341">
        <f t="shared" si="77"/>
        <v>216108.06</v>
      </c>
    </row>
    <row r="216" spans="1:31" ht="17.399999999999999" customHeight="1" x14ac:dyDescent="0.2">
      <c r="A216" s="891"/>
      <c r="B216" s="614" t="s">
        <v>429</v>
      </c>
      <c r="C216" s="427" t="s">
        <v>294</v>
      </c>
      <c r="D216" s="824">
        <f t="shared" ref="D216:L216" si="92">SUM(D17+D39+D61)</f>
        <v>170339.5</v>
      </c>
      <c r="E216" s="384">
        <f t="shared" si="92"/>
        <v>169999</v>
      </c>
      <c r="F216" s="392">
        <f t="shared" si="92"/>
        <v>340.5</v>
      </c>
      <c r="G216" s="827">
        <f t="shared" si="92"/>
        <v>160016</v>
      </c>
      <c r="H216" s="386">
        <f t="shared" si="92"/>
        <v>159725</v>
      </c>
      <c r="I216" s="381">
        <f t="shared" si="92"/>
        <v>291</v>
      </c>
      <c r="J216" s="827">
        <f t="shared" si="92"/>
        <v>175987</v>
      </c>
      <c r="K216" s="380">
        <f t="shared" si="92"/>
        <v>174043</v>
      </c>
      <c r="L216" s="379">
        <f t="shared" si="92"/>
        <v>1944</v>
      </c>
      <c r="N216" s="338"/>
      <c r="O216" s="338"/>
      <c r="P216" s="338"/>
      <c r="Q216" s="343" t="str">
        <f t="shared" si="74"/>
        <v>2011</v>
      </c>
      <c r="R216" s="342">
        <f t="shared" si="75"/>
        <v>170339.5</v>
      </c>
      <c r="S216" s="341">
        <f t="shared" si="76"/>
        <v>160016</v>
      </c>
      <c r="T216" s="341">
        <f t="shared" si="77"/>
        <v>175987</v>
      </c>
    </row>
    <row r="217" spans="1:31" ht="17.399999999999999" customHeight="1" x14ac:dyDescent="0.2">
      <c r="A217" s="891"/>
      <c r="B217" s="614" t="s">
        <v>429</v>
      </c>
      <c r="C217" s="423" t="s">
        <v>295</v>
      </c>
      <c r="D217" s="824">
        <f t="shared" ref="D217:L217" si="93">SUM(D18+D40+D62)</f>
        <v>183041</v>
      </c>
      <c r="E217" s="384">
        <f t="shared" si="93"/>
        <v>183041</v>
      </c>
      <c r="F217" s="392">
        <f t="shared" si="93"/>
        <v>0</v>
      </c>
      <c r="G217" s="827">
        <f t="shared" si="93"/>
        <v>182160</v>
      </c>
      <c r="H217" s="386">
        <f t="shared" si="93"/>
        <v>182160</v>
      </c>
      <c r="I217" s="381">
        <f t="shared" si="93"/>
        <v>0</v>
      </c>
      <c r="J217" s="827">
        <f t="shared" si="93"/>
        <v>153449.51999999999</v>
      </c>
      <c r="K217" s="380">
        <f t="shared" si="93"/>
        <v>153211.76999999999</v>
      </c>
      <c r="L217" s="379">
        <f t="shared" si="93"/>
        <v>237.75</v>
      </c>
      <c r="N217" s="338"/>
      <c r="O217" s="338"/>
      <c r="P217" s="338"/>
      <c r="Q217" s="343" t="str">
        <f t="shared" si="74"/>
        <v>2012</v>
      </c>
      <c r="R217" s="342">
        <f t="shared" si="75"/>
        <v>183041</v>
      </c>
      <c r="S217" s="341">
        <f t="shared" si="76"/>
        <v>182160</v>
      </c>
      <c r="T217" s="341">
        <f t="shared" si="77"/>
        <v>153449.51999999999</v>
      </c>
    </row>
    <row r="218" spans="1:31" ht="17.399999999999999" customHeight="1" x14ac:dyDescent="0.2">
      <c r="A218" s="891"/>
      <c r="B218" s="614" t="s">
        <v>429</v>
      </c>
      <c r="C218" s="423" t="s">
        <v>296</v>
      </c>
      <c r="D218" s="824">
        <f t="shared" ref="D218:L218" si="94">SUM(D19+D41+D63)</f>
        <v>179400</v>
      </c>
      <c r="E218" s="384">
        <f t="shared" si="94"/>
        <v>178946</v>
      </c>
      <c r="F218" s="392">
        <f t="shared" si="94"/>
        <v>454</v>
      </c>
      <c r="G218" s="827">
        <f t="shared" si="94"/>
        <v>181483</v>
      </c>
      <c r="H218" s="386">
        <f t="shared" si="94"/>
        <v>180991.66999999998</v>
      </c>
      <c r="I218" s="386">
        <f t="shared" si="94"/>
        <v>491.33</v>
      </c>
      <c r="J218" s="827">
        <f t="shared" si="94"/>
        <v>187899.06</v>
      </c>
      <c r="K218" s="380">
        <f t="shared" si="94"/>
        <v>187872.76</v>
      </c>
      <c r="L218" s="379">
        <f t="shared" si="94"/>
        <v>26.3</v>
      </c>
      <c r="N218" s="338"/>
      <c r="O218" s="338"/>
      <c r="P218" s="338"/>
      <c r="Q218" s="343" t="str">
        <f t="shared" si="74"/>
        <v>2013</v>
      </c>
      <c r="R218" s="342">
        <f t="shared" si="75"/>
        <v>179400</v>
      </c>
      <c r="S218" s="341">
        <f t="shared" si="76"/>
        <v>181483</v>
      </c>
      <c r="T218" s="341">
        <f t="shared" si="77"/>
        <v>187899.06</v>
      </c>
    </row>
    <row r="219" spans="1:31" ht="17.399999999999999" customHeight="1" x14ac:dyDescent="0.2">
      <c r="A219" s="891"/>
      <c r="B219" s="614" t="s">
        <v>429</v>
      </c>
      <c r="C219" s="423" t="s">
        <v>297</v>
      </c>
      <c r="D219" s="824">
        <f t="shared" ref="D219:L219" si="95">SUM(D20+D42+D64)</f>
        <v>171948</v>
      </c>
      <c r="E219" s="384">
        <f t="shared" si="95"/>
        <v>171948</v>
      </c>
      <c r="F219" s="392">
        <f t="shared" si="95"/>
        <v>0</v>
      </c>
      <c r="G219" s="827">
        <f t="shared" si="95"/>
        <v>163230</v>
      </c>
      <c r="H219" s="386">
        <f t="shared" si="95"/>
        <v>163230</v>
      </c>
      <c r="I219" s="381">
        <f t="shared" si="95"/>
        <v>0</v>
      </c>
      <c r="J219" s="827">
        <f t="shared" si="95"/>
        <v>177165.62</v>
      </c>
      <c r="K219" s="380">
        <f t="shared" si="95"/>
        <v>177156.55</v>
      </c>
      <c r="L219" s="379">
        <f t="shared" si="95"/>
        <v>9.07</v>
      </c>
      <c r="N219" s="338"/>
      <c r="O219" s="338"/>
      <c r="P219" s="338"/>
      <c r="Q219" s="343" t="str">
        <f t="shared" si="74"/>
        <v>2014</v>
      </c>
      <c r="R219" s="342">
        <f t="shared" si="75"/>
        <v>171948</v>
      </c>
      <c r="S219" s="341">
        <f t="shared" si="76"/>
        <v>163230</v>
      </c>
      <c r="T219" s="341">
        <f t="shared" si="77"/>
        <v>177165.62</v>
      </c>
    </row>
    <row r="220" spans="1:31" ht="17.399999999999999" customHeight="1" x14ac:dyDescent="0.2">
      <c r="A220" s="891"/>
      <c r="B220" s="614" t="s">
        <v>429</v>
      </c>
      <c r="C220" s="423" t="s">
        <v>298</v>
      </c>
      <c r="D220" s="824">
        <f t="shared" ref="D220:L220" si="96">SUM(D21+D43+D65)</f>
        <v>176630</v>
      </c>
      <c r="E220" s="384">
        <f t="shared" si="96"/>
        <v>175747</v>
      </c>
      <c r="F220" s="392">
        <f t="shared" si="96"/>
        <v>883</v>
      </c>
      <c r="G220" s="827">
        <f t="shared" si="96"/>
        <v>179598.7</v>
      </c>
      <c r="H220" s="386">
        <f t="shared" si="96"/>
        <v>178428.56</v>
      </c>
      <c r="I220" s="381">
        <f t="shared" si="96"/>
        <v>1170.1400000000001</v>
      </c>
      <c r="J220" s="827">
        <f t="shared" si="96"/>
        <v>207071.94</v>
      </c>
      <c r="K220" s="380">
        <f t="shared" si="96"/>
        <v>206571.30000000002</v>
      </c>
      <c r="L220" s="379">
        <f t="shared" si="96"/>
        <v>500.64</v>
      </c>
      <c r="M220" s="735"/>
      <c r="N220" s="338"/>
      <c r="O220" s="338"/>
      <c r="P220" s="338"/>
      <c r="Q220" s="343" t="str">
        <f t="shared" si="74"/>
        <v>2015</v>
      </c>
      <c r="R220" s="342">
        <f t="shared" si="75"/>
        <v>176630</v>
      </c>
      <c r="S220" s="341">
        <f t="shared" si="76"/>
        <v>179598.7</v>
      </c>
      <c r="T220" s="341">
        <f t="shared" si="77"/>
        <v>207071.94</v>
      </c>
      <c r="U220" s="350"/>
      <c r="V220" s="350"/>
      <c r="W220" s="350"/>
      <c r="X220" s="350"/>
      <c r="Y220" s="350"/>
      <c r="Z220" s="350"/>
      <c r="AA220" s="350"/>
      <c r="AB220" s="350"/>
      <c r="AC220" s="350"/>
      <c r="AD220" s="350"/>
      <c r="AE220" s="350"/>
    </row>
    <row r="221" spans="1:31" ht="17.399999999999999" customHeight="1" thickBot="1" x14ac:dyDescent="0.25">
      <c r="A221" s="892"/>
      <c r="B221" s="614" t="s">
        <v>429</v>
      </c>
      <c r="C221" s="423" t="s">
        <v>438</v>
      </c>
      <c r="D221" s="824">
        <f t="shared" ref="D221:L221" si="97">SUM(D22+D44+D66)</f>
        <v>179954</v>
      </c>
      <c r="E221" s="384">
        <f t="shared" si="97"/>
        <v>179462</v>
      </c>
      <c r="F221" s="392">
        <f t="shared" si="97"/>
        <v>492</v>
      </c>
      <c r="G221" s="827">
        <f t="shared" si="97"/>
        <v>0</v>
      </c>
      <c r="H221" s="386">
        <f t="shared" si="97"/>
        <v>0</v>
      </c>
      <c r="I221" s="386">
        <f t="shared" si="97"/>
        <v>0</v>
      </c>
      <c r="J221" s="827">
        <f t="shared" si="97"/>
        <v>0</v>
      </c>
      <c r="K221" s="380">
        <f t="shared" si="97"/>
        <v>0</v>
      </c>
      <c r="L221" s="379">
        <f t="shared" si="97"/>
        <v>0</v>
      </c>
      <c r="M221" s="735"/>
      <c r="N221" s="338"/>
      <c r="O221" s="338"/>
      <c r="P221" s="338"/>
      <c r="Q221" s="343" t="str">
        <f t="shared" si="74"/>
        <v>2016</v>
      </c>
      <c r="R221" s="342">
        <f t="shared" si="75"/>
        <v>179954</v>
      </c>
      <c r="S221" s="341">
        <f t="shared" si="76"/>
        <v>0</v>
      </c>
      <c r="T221" s="341">
        <f t="shared" si="77"/>
        <v>0</v>
      </c>
      <c r="U221" s="350"/>
      <c r="V221" s="350"/>
      <c r="W221" s="350"/>
      <c r="X221" s="350"/>
      <c r="Y221" s="350"/>
      <c r="Z221" s="350"/>
      <c r="AA221" s="350"/>
      <c r="AB221" s="350"/>
      <c r="AC221" s="350"/>
      <c r="AD221" s="350"/>
      <c r="AE221" s="350"/>
    </row>
    <row r="222" spans="1:31" ht="55.2" customHeight="1" thickBot="1" x14ac:dyDescent="0.25">
      <c r="A222" s="893" t="s">
        <v>402</v>
      </c>
      <c r="B222" s="609" t="s">
        <v>204</v>
      </c>
      <c r="C222" s="412" t="s">
        <v>384</v>
      </c>
      <c r="D222" s="411" t="s">
        <v>383</v>
      </c>
      <c r="E222" s="410" t="s">
        <v>390</v>
      </c>
      <c r="F222" s="409" t="s">
        <v>389</v>
      </c>
      <c r="G222" s="838" t="s">
        <v>382</v>
      </c>
      <c r="H222" s="839" t="s">
        <v>388</v>
      </c>
      <c r="I222" s="840" t="s">
        <v>387</v>
      </c>
      <c r="J222" s="408" t="s">
        <v>381</v>
      </c>
      <c r="K222" s="407" t="s">
        <v>393</v>
      </c>
      <c r="L222" s="406" t="s">
        <v>392</v>
      </c>
      <c r="Q222" s="349" t="s">
        <v>384</v>
      </c>
      <c r="R222" s="348" t="s">
        <v>383</v>
      </c>
      <c r="S222" s="347" t="s">
        <v>382</v>
      </c>
      <c r="T222" s="346" t="s">
        <v>381</v>
      </c>
    </row>
    <row r="223" spans="1:31" ht="15.75" hidden="1" customHeight="1" outlineLevel="1" x14ac:dyDescent="0.2">
      <c r="A223" s="894"/>
      <c r="B223" s="615" t="s">
        <v>430</v>
      </c>
      <c r="C223" s="435" t="s">
        <v>434</v>
      </c>
      <c r="D223" s="405">
        <f t="shared" ref="D223:L223" si="98">SUM(D90+D68+D2+D46+D24)</f>
        <v>64921</v>
      </c>
      <c r="E223" s="404">
        <f t="shared" si="98"/>
        <v>64790.35</v>
      </c>
      <c r="F223" s="403">
        <f t="shared" si="98"/>
        <v>130.65</v>
      </c>
      <c r="G223" s="402">
        <f t="shared" si="98"/>
        <v>111887.25</v>
      </c>
      <c r="H223" s="401">
        <f t="shared" si="98"/>
        <v>104804.36</v>
      </c>
      <c r="I223" s="400">
        <f t="shared" si="98"/>
        <v>7082.8899999999994</v>
      </c>
      <c r="J223" s="402">
        <f t="shared" si="98"/>
        <v>86637.670000000013</v>
      </c>
      <c r="K223" s="401">
        <f t="shared" si="98"/>
        <v>82288.58</v>
      </c>
      <c r="L223" s="400">
        <f t="shared" si="98"/>
        <v>4349.09</v>
      </c>
      <c r="M223" s="734">
        <f t="shared" ref="M223:M231" si="99">SUM(K223:L223)</f>
        <v>86637.67</v>
      </c>
      <c r="N223" s="338"/>
      <c r="O223" s="338"/>
      <c r="P223" s="338"/>
      <c r="Q223" s="345" t="str">
        <f t="shared" ref="Q223:Q243" si="100">+C223</f>
        <v>1996</v>
      </c>
      <c r="R223" s="342">
        <f t="shared" ref="R223:R243" si="101">+D223</f>
        <v>64921</v>
      </c>
      <c r="S223" s="341">
        <f t="shared" ref="S223:S243" si="102">+G223</f>
        <v>111887.25</v>
      </c>
      <c r="T223" s="341">
        <f t="shared" ref="T223:T243" si="103">+J223</f>
        <v>86637.670000000013</v>
      </c>
      <c r="U223" s="416"/>
      <c r="V223" s="416"/>
      <c r="W223" s="416"/>
      <c r="X223" s="416"/>
      <c r="Y223" s="416"/>
      <c r="Z223" s="416"/>
      <c r="AA223" s="416"/>
      <c r="AB223" s="416"/>
      <c r="AC223" s="416"/>
      <c r="AD223" s="416"/>
      <c r="AE223" s="416"/>
    </row>
    <row r="224" spans="1:31" ht="15.75" hidden="1" customHeight="1" outlineLevel="1" x14ac:dyDescent="0.2">
      <c r="A224" s="894"/>
      <c r="B224" s="615" t="s">
        <v>430</v>
      </c>
      <c r="C224" s="399" t="s">
        <v>435</v>
      </c>
      <c r="D224" s="398">
        <f t="shared" ref="D224:L224" si="104">SUM(D91+D69+D3+D47+D25)</f>
        <v>144000</v>
      </c>
      <c r="E224" s="397">
        <f t="shared" si="104"/>
        <v>141107</v>
      </c>
      <c r="F224" s="396">
        <f t="shared" si="104"/>
        <v>2893</v>
      </c>
      <c r="G224" s="395">
        <f t="shared" si="104"/>
        <v>177019</v>
      </c>
      <c r="H224" s="394">
        <f t="shared" si="104"/>
        <v>172920.4</v>
      </c>
      <c r="I224" s="393">
        <f t="shared" si="104"/>
        <v>4098.6000000000004</v>
      </c>
      <c r="J224" s="395">
        <f t="shared" si="104"/>
        <v>141326.09</v>
      </c>
      <c r="K224" s="394">
        <f t="shared" si="104"/>
        <v>138019.31</v>
      </c>
      <c r="L224" s="393">
        <f t="shared" si="104"/>
        <v>3306.7799999999997</v>
      </c>
      <c r="M224" s="734">
        <f t="shared" si="99"/>
        <v>141326.09</v>
      </c>
      <c r="N224" s="338"/>
      <c r="O224" s="338"/>
      <c r="P224" s="338"/>
      <c r="Q224" s="345" t="str">
        <f t="shared" si="100"/>
        <v>1997</v>
      </c>
      <c r="R224" s="342">
        <f t="shared" si="101"/>
        <v>144000</v>
      </c>
      <c r="S224" s="341">
        <f t="shared" si="102"/>
        <v>177019</v>
      </c>
      <c r="T224" s="341">
        <f t="shared" si="103"/>
        <v>141326.09</v>
      </c>
      <c r="U224" s="416"/>
      <c r="V224" s="416"/>
      <c r="W224" s="416"/>
      <c r="X224" s="416"/>
      <c r="Y224" s="416"/>
      <c r="Z224" s="416"/>
      <c r="AA224" s="416"/>
      <c r="AB224" s="416"/>
      <c r="AC224" s="416"/>
      <c r="AD224" s="416"/>
      <c r="AE224" s="416"/>
    </row>
    <row r="225" spans="1:31" ht="15.75" hidden="1" customHeight="1" outlineLevel="1" x14ac:dyDescent="0.2">
      <c r="A225" s="894"/>
      <c r="B225" s="615" t="s">
        <v>430</v>
      </c>
      <c r="C225" s="399" t="s">
        <v>436</v>
      </c>
      <c r="D225" s="398">
        <f t="shared" ref="D225:L225" si="105">SUM(D92+D70+D4+D48+D26)</f>
        <v>150535</v>
      </c>
      <c r="E225" s="397">
        <f t="shared" si="105"/>
        <v>145736</v>
      </c>
      <c r="F225" s="396">
        <f t="shared" si="105"/>
        <v>4799</v>
      </c>
      <c r="G225" s="395">
        <f t="shared" si="105"/>
        <v>96634.65</v>
      </c>
      <c r="H225" s="394">
        <f t="shared" si="105"/>
        <v>93627.790000000008</v>
      </c>
      <c r="I225" s="393">
        <f t="shared" si="105"/>
        <v>3006.86</v>
      </c>
      <c r="J225" s="395">
        <f t="shared" si="105"/>
        <v>102194.84</v>
      </c>
      <c r="K225" s="394">
        <f t="shared" si="105"/>
        <v>101333.94</v>
      </c>
      <c r="L225" s="393">
        <f t="shared" si="105"/>
        <v>860.9</v>
      </c>
      <c r="M225" s="734">
        <f t="shared" si="99"/>
        <v>102194.84</v>
      </c>
      <c r="N225" s="338"/>
      <c r="O225" s="338"/>
      <c r="P225" s="338"/>
      <c r="Q225" s="345" t="str">
        <f t="shared" si="100"/>
        <v>1998</v>
      </c>
      <c r="R225" s="342">
        <f t="shared" si="101"/>
        <v>150535</v>
      </c>
      <c r="S225" s="341">
        <f t="shared" si="102"/>
        <v>96634.65</v>
      </c>
      <c r="T225" s="341">
        <f t="shared" si="103"/>
        <v>102194.84</v>
      </c>
      <c r="U225" s="416"/>
      <c r="V225" s="416"/>
      <c r="W225" s="416"/>
      <c r="X225" s="416"/>
      <c r="Y225" s="416"/>
      <c r="Z225" s="416"/>
      <c r="AA225" s="416"/>
      <c r="AB225" s="416"/>
      <c r="AC225" s="416"/>
      <c r="AD225" s="416"/>
      <c r="AE225" s="416"/>
    </row>
    <row r="226" spans="1:31" ht="15.75" hidden="1" customHeight="1" outlineLevel="1" x14ac:dyDescent="0.2">
      <c r="A226" s="894"/>
      <c r="B226" s="615" t="s">
        <v>430</v>
      </c>
      <c r="C226" s="389" t="s">
        <v>437</v>
      </c>
      <c r="D226" s="388">
        <f t="shared" ref="D226:L226" si="106">SUM(D93+D71+D5+D49+D27)</f>
        <v>145835</v>
      </c>
      <c r="E226" s="386">
        <f t="shared" si="106"/>
        <v>143433</v>
      </c>
      <c r="F226" s="381">
        <f t="shared" si="106"/>
        <v>2402</v>
      </c>
      <c r="G226" s="383">
        <f t="shared" si="106"/>
        <v>188336.8</v>
      </c>
      <c r="H226" s="384">
        <f t="shared" si="106"/>
        <v>184677.06</v>
      </c>
      <c r="I226" s="392">
        <f t="shared" si="106"/>
        <v>3659.7400000000002</v>
      </c>
      <c r="J226" s="383">
        <f t="shared" si="106"/>
        <v>161798.23000000001</v>
      </c>
      <c r="K226" s="384">
        <f t="shared" si="106"/>
        <v>155951.69</v>
      </c>
      <c r="L226" s="392">
        <f t="shared" si="106"/>
        <v>5846.54</v>
      </c>
      <c r="M226" s="734">
        <f t="shared" si="99"/>
        <v>161798.23000000001</v>
      </c>
      <c r="N226" s="338"/>
      <c r="O226" s="338"/>
      <c r="P226" s="338"/>
      <c r="Q226" s="345" t="str">
        <f t="shared" si="100"/>
        <v>1999</v>
      </c>
      <c r="R226" s="342">
        <f t="shared" si="101"/>
        <v>145835</v>
      </c>
      <c r="S226" s="341">
        <f t="shared" si="102"/>
        <v>188336.8</v>
      </c>
      <c r="T226" s="341">
        <f t="shared" si="103"/>
        <v>161798.23000000001</v>
      </c>
      <c r="U226" s="416"/>
      <c r="V226" s="416"/>
      <c r="W226" s="416"/>
      <c r="X226" s="416"/>
      <c r="Y226" s="416"/>
      <c r="Z226" s="416"/>
      <c r="AA226" s="416"/>
      <c r="AB226" s="416"/>
      <c r="AC226" s="416"/>
      <c r="AD226" s="416"/>
      <c r="AE226" s="416"/>
    </row>
    <row r="227" spans="1:31" ht="17.399999999999999" hidden="1" customHeight="1" outlineLevel="1" x14ac:dyDescent="0.2">
      <c r="A227" s="894"/>
      <c r="B227" s="615" t="s">
        <v>430</v>
      </c>
      <c r="C227" s="428" t="s">
        <v>283</v>
      </c>
      <c r="D227" s="388">
        <f t="shared" ref="D227:L227" si="107">SUM(D94+D72+D6+D50+D28)</f>
        <v>207715</v>
      </c>
      <c r="E227" s="384">
        <f t="shared" si="107"/>
        <v>202267</v>
      </c>
      <c r="F227" s="392">
        <f t="shared" si="107"/>
        <v>5448</v>
      </c>
      <c r="G227" s="383">
        <f t="shared" si="107"/>
        <v>190779.7</v>
      </c>
      <c r="H227" s="384">
        <f t="shared" si="107"/>
        <v>188712.77000000002</v>
      </c>
      <c r="I227" s="392">
        <f t="shared" si="107"/>
        <v>2066.9300000000003</v>
      </c>
      <c r="J227" s="383">
        <f t="shared" si="107"/>
        <v>205724.79999999999</v>
      </c>
      <c r="K227" s="380">
        <f t="shared" si="107"/>
        <v>201847.47</v>
      </c>
      <c r="L227" s="379">
        <f t="shared" si="107"/>
        <v>3877.33</v>
      </c>
      <c r="M227" s="734">
        <f t="shared" si="99"/>
        <v>205724.79999999999</v>
      </c>
      <c r="N227" s="338"/>
      <c r="O227" s="338"/>
      <c r="P227" s="338"/>
      <c r="Q227" s="345" t="str">
        <f t="shared" si="100"/>
        <v>2000</v>
      </c>
      <c r="R227" s="342">
        <f t="shared" si="101"/>
        <v>207715</v>
      </c>
      <c r="S227" s="341">
        <f t="shared" si="102"/>
        <v>190779.7</v>
      </c>
      <c r="T227" s="341">
        <f t="shared" si="103"/>
        <v>205724.79999999999</v>
      </c>
      <c r="U227" s="416"/>
      <c r="V227" s="416"/>
      <c r="W227" s="416"/>
      <c r="X227" s="416"/>
      <c r="Y227" s="416"/>
      <c r="Z227" s="416"/>
      <c r="AA227" s="416"/>
      <c r="AB227" s="416"/>
      <c r="AC227" s="416"/>
      <c r="AD227" s="416"/>
      <c r="AE227" s="416"/>
    </row>
    <row r="228" spans="1:31" ht="17.399999999999999" hidden="1" customHeight="1" outlineLevel="1" x14ac:dyDescent="0.2">
      <c r="A228" s="894"/>
      <c r="B228" s="615" t="s">
        <v>430</v>
      </c>
      <c r="C228" s="389" t="s">
        <v>284</v>
      </c>
      <c r="D228" s="388">
        <f t="shared" ref="D228:L228" si="108">SUM(D95+D73+D7+D51+D29)</f>
        <v>184680</v>
      </c>
      <c r="E228" s="384">
        <f t="shared" si="108"/>
        <v>180405.55</v>
      </c>
      <c r="F228" s="392">
        <f t="shared" si="108"/>
        <v>4274.45</v>
      </c>
      <c r="G228" s="383">
        <f t="shared" si="108"/>
        <v>176235</v>
      </c>
      <c r="H228" s="384">
        <f t="shared" si="108"/>
        <v>171903.88</v>
      </c>
      <c r="I228" s="392">
        <f t="shared" si="108"/>
        <v>4331.12</v>
      </c>
      <c r="J228" s="383">
        <f t="shared" si="108"/>
        <v>173889.65000000002</v>
      </c>
      <c r="K228" s="380">
        <f t="shared" si="108"/>
        <v>172348.47000000003</v>
      </c>
      <c r="L228" s="379">
        <f t="shared" si="108"/>
        <v>1541.1799999999998</v>
      </c>
      <c r="M228" s="734">
        <f t="shared" si="99"/>
        <v>173889.65000000002</v>
      </c>
      <c r="N228" s="338"/>
      <c r="O228" s="338"/>
      <c r="P228" s="338"/>
      <c r="Q228" s="343" t="str">
        <f t="shared" si="100"/>
        <v>2001</v>
      </c>
      <c r="R228" s="342">
        <f t="shared" si="101"/>
        <v>184680</v>
      </c>
      <c r="S228" s="341">
        <f t="shared" si="102"/>
        <v>176235</v>
      </c>
      <c r="T228" s="341">
        <f t="shared" si="103"/>
        <v>173889.65000000002</v>
      </c>
      <c r="U228" s="416"/>
      <c r="V228" s="416"/>
      <c r="W228" s="416"/>
      <c r="X228" s="416"/>
      <c r="Y228" s="416"/>
      <c r="Z228" s="416"/>
      <c r="AA228" s="416"/>
      <c r="AB228" s="416"/>
      <c r="AC228" s="416"/>
      <c r="AD228" s="416"/>
      <c r="AE228" s="416"/>
    </row>
    <row r="229" spans="1:31" ht="17.399999999999999" hidden="1" customHeight="1" outlineLevel="1" x14ac:dyDescent="0.2">
      <c r="A229" s="894"/>
      <c r="B229" s="615" t="s">
        <v>430</v>
      </c>
      <c r="C229" s="389" t="s">
        <v>285</v>
      </c>
      <c r="D229" s="388">
        <f t="shared" ref="D229:L229" si="109">SUM(D118+D96+D74+D8+D52+D30)</f>
        <v>178228</v>
      </c>
      <c r="E229" s="384">
        <f t="shared" si="109"/>
        <v>177642</v>
      </c>
      <c r="F229" s="392">
        <f t="shared" si="109"/>
        <v>586</v>
      </c>
      <c r="G229" s="383">
        <f t="shared" si="109"/>
        <v>199059</v>
      </c>
      <c r="H229" s="384">
        <f t="shared" si="109"/>
        <v>197764.55</v>
      </c>
      <c r="I229" s="392">
        <f t="shared" si="109"/>
        <v>1294.45</v>
      </c>
      <c r="J229" s="383">
        <f t="shared" si="109"/>
        <v>214472.49999999997</v>
      </c>
      <c r="K229" s="380">
        <f t="shared" si="109"/>
        <v>212025.31999999998</v>
      </c>
      <c r="L229" s="379">
        <f t="shared" si="109"/>
        <v>2447.1800000000003</v>
      </c>
      <c r="M229" s="734">
        <f t="shared" si="99"/>
        <v>214472.49999999997</v>
      </c>
      <c r="N229" s="338"/>
      <c r="O229" s="338"/>
      <c r="P229" s="338"/>
      <c r="Q229" s="343" t="str">
        <f t="shared" si="100"/>
        <v>2002</v>
      </c>
      <c r="R229" s="342">
        <f t="shared" si="101"/>
        <v>178228</v>
      </c>
      <c r="S229" s="341">
        <f t="shared" si="102"/>
        <v>199059</v>
      </c>
      <c r="T229" s="341">
        <f t="shared" si="103"/>
        <v>214472.49999999997</v>
      </c>
      <c r="U229" s="416"/>
      <c r="V229" s="416"/>
      <c r="W229" s="416"/>
      <c r="X229" s="416"/>
      <c r="Y229" s="416"/>
      <c r="Z229" s="416"/>
      <c r="AA229" s="416"/>
      <c r="AB229" s="416"/>
      <c r="AC229" s="416"/>
      <c r="AD229" s="416"/>
      <c r="AE229" s="416"/>
    </row>
    <row r="230" spans="1:31" ht="17.399999999999999" hidden="1" customHeight="1" outlineLevel="1" x14ac:dyDescent="0.2">
      <c r="A230" s="894"/>
      <c r="B230" s="615" t="s">
        <v>430</v>
      </c>
      <c r="C230" s="389" t="s">
        <v>286</v>
      </c>
      <c r="D230" s="388">
        <f t="shared" ref="D230:L230" si="110">SUM(D119+D97+D75+D9+D53+D31)</f>
        <v>195585</v>
      </c>
      <c r="E230" s="384">
        <f t="shared" si="110"/>
        <v>193988</v>
      </c>
      <c r="F230" s="392">
        <f t="shared" si="110"/>
        <v>1597</v>
      </c>
      <c r="G230" s="383">
        <f t="shared" si="110"/>
        <v>228202</v>
      </c>
      <c r="H230" s="384">
        <f t="shared" si="110"/>
        <v>225504.43000000002</v>
      </c>
      <c r="I230" s="392">
        <f t="shared" si="110"/>
        <v>2697.57</v>
      </c>
      <c r="J230" s="383">
        <f t="shared" si="110"/>
        <v>254218.66999999998</v>
      </c>
      <c r="K230" s="380">
        <f t="shared" si="110"/>
        <v>248052.3</v>
      </c>
      <c r="L230" s="379">
        <f t="shared" si="110"/>
        <v>6166.37</v>
      </c>
      <c r="M230" s="734">
        <f t="shared" si="99"/>
        <v>254218.66999999998</v>
      </c>
      <c r="N230" s="338"/>
      <c r="O230" s="338"/>
      <c r="P230" s="338"/>
      <c r="Q230" s="343" t="str">
        <f t="shared" si="100"/>
        <v>2003</v>
      </c>
      <c r="R230" s="342">
        <f t="shared" si="101"/>
        <v>195585</v>
      </c>
      <c r="S230" s="341">
        <f t="shared" si="102"/>
        <v>228202</v>
      </c>
      <c r="T230" s="341">
        <f t="shared" si="103"/>
        <v>254218.66999999998</v>
      </c>
      <c r="U230" s="416"/>
      <c r="V230" s="416"/>
      <c r="W230" s="416"/>
      <c r="X230" s="416"/>
      <c r="Y230" s="416"/>
      <c r="Z230" s="416"/>
      <c r="AA230" s="416"/>
      <c r="AB230" s="416"/>
      <c r="AC230" s="416"/>
      <c r="AD230" s="416"/>
      <c r="AE230" s="416"/>
    </row>
    <row r="231" spans="1:31" ht="17.399999999999999" hidden="1" customHeight="1" outlineLevel="1" x14ac:dyDescent="0.2">
      <c r="A231" s="894"/>
      <c r="B231" s="615" t="s">
        <v>430</v>
      </c>
      <c r="C231" s="389" t="s">
        <v>287</v>
      </c>
      <c r="D231" s="388">
        <f t="shared" ref="D231:L231" si="111">SUM(D120+D98+D76+D10+D54+D32)</f>
        <v>251977</v>
      </c>
      <c r="E231" s="384">
        <f t="shared" si="111"/>
        <v>249096</v>
      </c>
      <c r="F231" s="392">
        <f t="shared" si="111"/>
        <v>2881</v>
      </c>
      <c r="G231" s="383">
        <f t="shared" si="111"/>
        <v>268458</v>
      </c>
      <c r="H231" s="384">
        <f t="shared" si="111"/>
        <v>265789.59999999998</v>
      </c>
      <c r="I231" s="392">
        <f t="shared" si="111"/>
        <v>2668.4</v>
      </c>
      <c r="J231" s="383">
        <f t="shared" si="111"/>
        <v>239491.30000000002</v>
      </c>
      <c r="K231" s="380">
        <f t="shared" si="111"/>
        <v>236131.49</v>
      </c>
      <c r="L231" s="379">
        <f t="shared" si="111"/>
        <v>3359.81</v>
      </c>
      <c r="M231" s="734">
        <f t="shared" si="99"/>
        <v>239491.3</v>
      </c>
      <c r="N231" s="338"/>
      <c r="O231" s="338"/>
      <c r="P231" s="338"/>
      <c r="Q231" s="343" t="str">
        <f t="shared" si="100"/>
        <v>2004</v>
      </c>
      <c r="R231" s="342">
        <f t="shared" si="101"/>
        <v>251977</v>
      </c>
      <c r="S231" s="341">
        <f t="shared" si="102"/>
        <v>268458</v>
      </c>
      <c r="T231" s="341">
        <f t="shared" si="103"/>
        <v>239491.30000000002</v>
      </c>
      <c r="U231" s="416"/>
      <c r="V231" s="416"/>
      <c r="W231" s="416"/>
      <c r="X231" s="416"/>
      <c r="Y231" s="416"/>
      <c r="Z231" s="416"/>
      <c r="AA231" s="416"/>
      <c r="AB231" s="416"/>
      <c r="AC231" s="416"/>
      <c r="AD231" s="416"/>
      <c r="AE231" s="416"/>
    </row>
    <row r="232" spans="1:31" ht="17.399999999999999" hidden="1" customHeight="1" outlineLevel="1" x14ac:dyDescent="0.2">
      <c r="A232" s="894"/>
      <c r="B232" s="615" t="s">
        <v>430</v>
      </c>
      <c r="C232" s="389" t="s">
        <v>288</v>
      </c>
      <c r="D232" s="388">
        <f t="shared" ref="D232:L232" si="112">SUM(D121+D99+D77+D11+D55+D33)</f>
        <v>230230</v>
      </c>
      <c r="E232" s="384">
        <f t="shared" si="112"/>
        <v>226932</v>
      </c>
      <c r="F232" s="392">
        <f t="shared" si="112"/>
        <v>3298</v>
      </c>
      <c r="G232" s="383">
        <f t="shared" si="112"/>
        <v>213209</v>
      </c>
      <c r="H232" s="384">
        <f t="shared" si="112"/>
        <v>211243.57</v>
      </c>
      <c r="I232" s="392">
        <f t="shared" si="112"/>
        <v>1965.43</v>
      </c>
      <c r="J232" s="383">
        <f t="shared" si="112"/>
        <v>267243.32999999996</v>
      </c>
      <c r="K232" s="380">
        <f t="shared" si="112"/>
        <v>263916.13</v>
      </c>
      <c r="L232" s="379">
        <f t="shared" si="112"/>
        <v>3327.2</v>
      </c>
      <c r="M232" s="736"/>
      <c r="N232" s="338"/>
      <c r="O232" s="338"/>
      <c r="P232" s="338"/>
      <c r="Q232" s="343" t="str">
        <f t="shared" si="100"/>
        <v>2005</v>
      </c>
      <c r="R232" s="342">
        <f t="shared" si="101"/>
        <v>230230</v>
      </c>
      <c r="S232" s="341">
        <f t="shared" si="102"/>
        <v>213209</v>
      </c>
      <c r="T232" s="341">
        <f t="shared" si="103"/>
        <v>267243.32999999996</v>
      </c>
      <c r="U232" s="416"/>
      <c r="V232" s="416"/>
      <c r="W232" s="416"/>
      <c r="X232" s="416"/>
      <c r="Y232" s="416"/>
      <c r="Z232" s="416"/>
      <c r="AA232" s="416"/>
      <c r="AB232" s="416"/>
      <c r="AC232" s="416"/>
      <c r="AD232" s="416"/>
      <c r="AE232" s="416"/>
    </row>
    <row r="233" spans="1:31" ht="20.399999999999999" customHeight="1" collapsed="1" x14ac:dyDescent="0.2">
      <c r="A233" s="894"/>
      <c r="B233" s="847" t="s">
        <v>531</v>
      </c>
      <c r="C233" s="389" t="s">
        <v>289</v>
      </c>
      <c r="D233" s="824">
        <f t="shared" ref="D233:L233" si="113">SUM(D122+D100+D78+D12+D56+D34)</f>
        <v>286312</v>
      </c>
      <c r="E233" s="384">
        <f t="shared" si="113"/>
        <v>277865.2</v>
      </c>
      <c r="F233" s="392">
        <f t="shared" si="113"/>
        <v>8446.7999999999993</v>
      </c>
      <c r="G233" s="827">
        <f t="shared" si="113"/>
        <v>267926.92</v>
      </c>
      <c r="H233" s="386">
        <f t="shared" si="113"/>
        <v>258887.7</v>
      </c>
      <c r="I233" s="381">
        <f t="shared" si="113"/>
        <v>9039.2200000000012</v>
      </c>
      <c r="J233" s="827">
        <f t="shared" si="113"/>
        <v>272490.2</v>
      </c>
      <c r="K233" s="380">
        <f t="shared" si="113"/>
        <v>269448.24</v>
      </c>
      <c r="L233" s="379">
        <f t="shared" si="113"/>
        <v>3041.96</v>
      </c>
      <c r="M233" s="736"/>
      <c r="N233" s="338"/>
      <c r="O233" s="338"/>
      <c r="P233" s="338"/>
      <c r="Q233" s="343" t="str">
        <f t="shared" si="100"/>
        <v>2006</v>
      </c>
      <c r="R233" s="342">
        <f t="shared" si="101"/>
        <v>286312</v>
      </c>
      <c r="S233" s="341">
        <f t="shared" si="102"/>
        <v>267926.92</v>
      </c>
      <c r="T233" s="341">
        <f t="shared" si="103"/>
        <v>272490.2</v>
      </c>
      <c r="U233" s="416"/>
      <c r="V233" s="416"/>
      <c r="W233" s="416"/>
      <c r="X233" s="416"/>
      <c r="Y233" s="416"/>
      <c r="Z233" s="416"/>
      <c r="AA233" s="416"/>
      <c r="AB233" s="416"/>
      <c r="AC233" s="416"/>
      <c r="AD233" s="416"/>
      <c r="AE233" s="416"/>
    </row>
    <row r="234" spans="1:31" ht="20.399999999999999" customHeight="1" x14ac:dyDescent="0.2">
      <c r="A234" s="894"/>
      <c r="B234" s="847" t="s">
        <v>531</v>
      </c>
      <c r="C234" s="389" t="s">
        <v>290</v>
      </c>
      <c r="D234" s="824">
        <f t="shared" ref="D234:L234" si="114">SUM(D123+D101+D79+D13+D57+D35)</f>
        <v>205870</v>
      </c>
      <c r="E234" s="384">
        <f t="shared" si="114"/>
        <v>200988</v>
      </c>
      <c r="F234" s="392">
        <f t="shared" si="114"/>
        <v>4882</v>
      </c>
      <c r="G234" s="827">
        <f t="shared" si="114"/>
        <v>247287</v>
      </c>
      <c r="H234" s="386">
        <f t="shared" si="114"/>
        <v>238837</v>
      </c>
      <c r="I234" s="381">
        <f t="shared" si="114"/>
        <v>8450</v>
      </c>
      <c r="J234" s="827">
        <f t="shared" si="114"/>
        <v>237500.45</v>
      </c>
      <c r="K234" s="380">
        <f t="shared" si="114"/>
        <v>231433.55</v>
      </c>
      <c r="L234" s="379">
        <f t="shared" si="114"/>
        <v>6066.9000000000005</v>
      </c>
      <c r="N234" s="338"/>
      <c r="O234" s="338"/>
      <c r="P234" s="338"/>
      <c r="Q234" s="343" t="str">
        <f t="shared" si="100"/>
        <v>2007</v>
      </c>
      <c r="R234" s="342">
        <f t="shared" si="101"/>
        <v>205870</v>
      </c>
      <c r="S234" s="341">
        <f t="shared" si="102"/>
        <v>247287</v>
      </c>
      <c r="T234" s="341">
        <f t="shared" si="103"/>
        <v>237500.45</v>
      </c>
    </row>
    <row r="235" spans="1:31" ht="20.399999999999999" customHeight="1" x14ac:dyDescent="0.2">
      <c r="A235" s="894"/>
      <c r="B235" s="847" t="s">
        <v>531</v>
      </c>
      <c r="C235" s="389" t="s">
        <v>291</v>
      </c>
      <c r="D235" s="824">
        <f t="shared" ref="D235:L235" si="115">SUM(D124+D102+D80+D14+D58+D36)</f>
        <v>201700</v>
      </c>
      <c r="E235" s="384">
        <f t="shared" si="115"/>
        <v>196871</v>
      </c>
      <c r="F235" s="392">
        <f t="shared" si="115"/>
        <v>4829</v>
      </c>
      <c r="G235" s="827">
        <f t="shared" si="115"/>
        <v>206698</v>
      </c>
      <c r="H235" s="386">
        <f t="shared" si="115"/>
        <v>199528</v>
      </c>
      <c r="I235" s="381">
        <f t="shared" si="115"/>
        <v>7170</v>
      </c>
      <c r="J235" s="827">
        <f t="shared" si="115"/>
        <v>230897</v>
      </c>
      <c r="K235" s="380">
        <f t="shared" si="115"/>
        <v>222591</v>
      </c>
      <c r="L235" s="379">
        <f t="shared" si="115"/>
        <v>8306</v>
      </c>
      <c r="N235" s="338"/>
      <c r="O235" s="338"/>
      <c r="P235" s="338"/>
      <c r="Q235" s="343" t="str">
        <f t="shared" si="100"/>
        <v>2008</v>
      </c>
      <c r="R235" s="342">
        <f t="shared" si="101"/>
        <v>201700</v>
      </c>
      <c r="S235" s="341">
        <f t="shared" si="102"/>
        <v>206698</v>
      </c>
      <c r="T235" s="341">
        <f t="shared" si="103"/>
        <v>230897</v>
      </c>
    </row>
    <row r="236" spans="1:31" ht="20.399999999999999" customHeight="1" x14ac:dyDescent="0.2">
      <c r="A236" s="894"/>
      <c r="B236" s="847" t="s">
        <v>531</v>
      </c>
      <c r="C236" s="389" t="s">
        <v>292</v>
      </c>
      <c r="D236" s="824">
        <f t="shared" ref="D236:L236" si="116">SUM(D125+D103+D81+D15+D59+D37)</f>
        <v>210533</v>
      </c>
      <c r="E236" s="384">
        <f t="shared" si="116"/>
        <v>205725</v>
      </c>
      <c r="F236" s="392">
        <f t="shared" si="116"/>
        <v>4808</v>
      </c>
      <c r="G236" s="827">
        <f t="shared" si="116"/>
        <v>208052</v>
      </c>
      <c r="H236" s="386">
        <f t="shared" si="116"/>
        <v>203257.86</v>
      </c>
      <c r="I236" s="381">
        <f t="shared" si="116"/>
        <v>4794.1399999999994</v>
      </c>
      <c r="J236" s="827">
        <f t="shared" si="116"/>
        <v>233170.19</v>
      </c>
      <c r="K236" s="380">
        <f t="shared" si="116"/>
        <v>225099.73</v>
      </c>
      <c r="L236" s="379">
        <f t="shared" si="116"/>
        <v>8070.4600000000009</v>
      </c>
      <c r="N236" s="338"/>
      <c r="O236" s="338"/>
      <c r="P236" s="338"/>
      <c r="Q236" s="343" t="str">
        <f t="shared" si="100"/>
        <v>2009</v>
      </c>
      <c r="R236" s="342">
        <f t="shared" si="101"/>
        <v>210533</v>
      </c>
      <c r="S236" s="341">
        <f t="shared" si="102"/>
        <v>208052</v>
      </c>
      <c r="T236" s="341">
        <f t="shared" si="103"/>
        <v>233170.19</v>
      </c>
    </row>
    <row r="237" spans="1:31" ht="20.399999999999999" customHeight="1" x14ac:dyDescent="0.2">
      <c r="A237" s="894"/>
      <c r="B237" s="847" t="s">
        <v>531</v>
      </c>
      <c r="C237" s="389" t="s">
        <v>293</v>
      </c>
      <c r="D237" s="824">
        <f t="shared" ref="D237:L237" si="117">SUM(D126+D104+D82+D16+D60+D38)</f>
        <v>192001</v>
      </c>
      <c r="E237" s="384">
        <f t="shared" si="117"/>
        <v>189445</v>
      </c>
      <c r="F237" s="392">
        <f t="shared" si="117"/>
        <v>2556</v>
      </c>
      <c r="G237" s="827">
        <f t="shared" si="117"/>
        <v>200303</v>
      </c>
      <c r="H237" s="386">
        <f t="shared" si="117"/>
        <v>198348.24</v>
      </c>
      <c r="I237" s="386">
        <f t="shared" si="117"/>
        <v>1954.76</v>
      </c>
      <c r="J237" s="827">
        <f t="shared" si="117"/>
        <v>261320.74</v>
      </c>
      <c r="K237" s="380">
        <f t="shared" si="117"/>
        <v>255972.68</v>
      </c>
      <c r="L237" s="379">
        <f t="shared" si="117"/>
        <v>5348.06</v>
      </c>
      <c r="N237" s="338"/>
      <c r="O237" s="338"/>
      <c r="P237" s="338"/>
      <c r="Q237" s="343" t="str">
        <f t="shared" si="100"/>
        <v>2010</v>
      </c>
      <c r="R237" s="342">
        <f t="shared" si="101"/>
        <v>192001</v>
      </c>
      <c r="S237" s="341">
        <f t="shared" si="102"/>
        <v>200303</v>
      </c>
      <c r="T237" s="341">
        <f t="shared" si="103"/>
        <v>261320.74</v>
      </c>
    </row>
    <row r="238" spans="1:31" ht="20.399999999999999" customHeight="1" x14ac:dyDescent="0.2">
      <c r="A238" s="894"/>
      <c r="B238" s="847" t="s">
        <v>531</v>
      </c>
      <c r="C238" s="427" t="s">
        <v>294</v>
      </c>
      <c r="D238" s="834">
        <f t="shared" ref="D238:L238" si="118">SUM(D127+D105+D83+D17+D61+D39)</f>
        <v>201839.5</v>
      </c>
      <c r="E238" s="387">
        <f t="shared" si="118"/>
        <v>198974</v>
      </c>
      <c r="F238" s="415">
        <f t="shared" si="118"/>
        <v>2865.5</v>
      </c>
      <c r="G238" s="827">
        <f t="shared" si="118"/>
        <v>191819</v>
      </c>
      <c r="H238" s="382">
        <f t="shared" si="118"/>
        <v>189347</v>
      </c>
      <c r="I238" s="382">
        <f t="shared" si="118"/>
        <v>2472</v>
      </c>
      <c r="J238" s="827">
        <f t="shared" si="118"/>
        <v>221282</v>
      </c>
      <c r="K238" s="380">
        <f t="shared" si="118"/>
        <v>217716</v>
      </c>
      <c r="L238" s="390">
        <f t="shared" si="118"/>
        <v>3566</v>
      </c>
      <c r="N238" s="338"/>
      <c r="O238" s="338"/>
      <c r="P238" s="338"/>
      <c r="Q238" s="343" t="str">
        <f t="shared" si="100"/>
        <v>2011</v>
      </c>
      <c r="R238" s="342">
        <f t="shared" si="101"/>
        <v>201839.5</v>
      </c>
      <c r="S238" s="341">
        <f t="shared" si="102"/>
        <v>191819</v>
      </c>
      <c r="T238" s="341">
        <f t="shared" si="103"/>
        <v>221282</v>
      </c>
    </row>
    <row r="239" spans="1:31" ht="20.399999999999999" customHeight="1" x14ac:dyDescent="0.2">
      <c r="A239" s="894"/>
      <c r="B239" s="847" t="s">
        <v>531</v>
      </c>
      <c r="C239" s="423" t="s">
        <v>295</v>
      </c>
      <c r="D239" s="834">
        <f t="shared" ref="D239:L239" si="119">SUM(D128+D106+D84+D18+D62+D40)</f>
        <v>209841</v>
      </c>
      <c r="E239" s="387">
        <f t="shared" si="119"/>
        <v>208591</v>
      </c>
      <c r="F239" s="415">
        <f t="shared" si="119"/>
        <v>1250</v>
      </c>
      <c r="G239" s="827">
        <f t="shared" si="119"/>
        <v>210608</v>
      </c>
      <c r="H239" s="382">
        <f t="shared" si="119"/>
        <v>209285.7</v>
      </c>
      <c r="I239" s="382">
        <f t="shared" si="119"/>
        <v>1322.3</v>
      </c>
      <c r="J239" s="827">
        <f t="shared" si="119"/>
        <v>216315.52000000002</v>
      </c>
      <c r="K239" s="380">
        <f t="shared" si="119"/>
        <v>214405.15999999997</v>
      </c>
      <c r="L239" s="379">
        <f t="shared" si="119"/>
        <v>1910.36</v>
      </c>
      <c r="N239" s="338"/>
      <c r="O239" s="338"/>
      <c r="P239" s="338"/>
      <c r="Q239" s="343" t="str">
        <f t="shared" si="100"/>
        <v>2012</v>
      </c>
      <c r="R239" s="342">
        <f t="shared" si="101"/>
        <v>209841</v>
      </c>
      <c r="S239" s="341">
        <f t="shared" si="102"/>
        <v>210608</v>
      </c>
      <c r="T239" s="341">
        <f t="shared" si="103"/>
        <v>216315.52000000002</v>
      </c>
    </row>
    <row r="240" spans="1:31" ht="20.399999999999999" customHeight="1" x14ac:dyDescent="0.2">
      <c r="A240" s="894"/>
      <c r="B240" s="847" t="s">
        <v>531</v>
      </c>
      <c r="C240" s="423" t="s">
        <v>296</v>
      </c>
      <c r="D240" s="834">
        <f>SUM(D129+D107+D85+D18+D65+D40)</f>
        <v>207776</v>
      </c>
      <c r="E240" s="387">
        <f>SUM(E129+E107+E85+E18+E65+E40)</f>
        <v>205850</v>
      </c>
      <c r="F240" s="415">
        <f>SUM(F129+F107+F85+F18+F65+F40)</f>
        <v>1926</v>
      </c>
      <c r="G240" s="827">
        <f t="shared" ref="G240:L243" si="120">SUM(G129+G107+G85+G19+G63+G41)</f>
        <v>217021.98</v>
      </c>
      <c r="H240" s="382">
        <f t="shared" si="120"/>
        <v>212970.87</v>
      </c>
      <c r="I240" s="382">
        <f t="shared" si="120"/>
        <v>4051.11</v>
      </c>
      <c r="J240" s="827">
        <f t="shared" si="120"/>
        <v>219601.12</v>
      </c>
      <c r="K240" s="380">
        <f t="shared" si="120"/>
        <v>217276.97999999998</v>
      </c>
      <c r="L240" s="379">
        <f t="shared" si="120"/>
        <v>2324.1400000000003</v>
      </c>
      <c r="N240" s="338"/>
      <c r="O240" s="338"/>
      <c r="P240" s="338"/>
      <c r="Q240" s="343" t="str">
        <f t="shared" si="100"/>
        <v>2013</v>
      </c>
      <c r="R240" s="342">
        <f t="shared" si="101"/>
        <v>207776</v>
      </c>
      <c r="S240" s="341">
        <f t="shared" si="102"/>
        <v>217021.98</v>
      </c>
      <c r="T240" s="341">
        <f t="shared" si="103"/>
        <v>219601.12</v>
      </c>
    </row>
    <row r="241" spans="1:31" ht="20.399999999999999" customHeight="1" x14ac:dyDescent="0.2">
      <c r="A241" s="894"/>
      <c r="B241" s="847" t="s">
        <v>531</v>
      </c>
      <c r="C241" s="423" t="s">
        <v>297</v>
      </c>
      <c r="D241" s="834">
        <f>SUM(D130+D108+D86+D22+D66+D42)</f>
        <v>220461</v>
      </c>
      <c r="E241" s="387">
        <f>SUM(E130+E108+E86+E22+E66+E42)</f>
        <v>215750.1</v>
      </c>
      <c r="F241" s="415">
        <f>SUM(F130+F108+F86+F22+F66+F42)</f>
        <v>4710.8999999999996</v>
      </c>
      <c r="G241" s="827">
        <f t="shared" si="120"/>
        <v>199802</v>
      </c>
      <c r="H241" s="382">
        <f t="shared" si="120"/>
        <v>196420.16899999999</v>
      </c>
      <c r="I241" s="382">
        <f t="shared" si="120"/>
        <v>3381.8310000000001</v>
      </c>
      <c r="J241" s="827">
        <f t="shared" si="120"/>
        <v>214812.94999999998</v>
      </c>
      <c r="K241" s="380">
        <f t="shared" si="120"/>
        <v>211331.72</v>
      </c>
      <c r="L241" s="390">
        <f t="shared" si="120"/>
        <v>3481.23</v>
      </c>
      <c r="N241" s="338"/>
      <c r="O241" s="338"/>
      <c r="P241" s="338"/>
      <c r="Q241" s="343" t="str">
        <f t="shared" si="100"/>
        <v>2014</v>
      </c>
      <c r="R241" s="342">
        <f t="shared" si="101"/>
        <v>220461</v>
      </c>
      <c r="S241" s="341">
        <f t="shared" si="102"/>
        <v>199802</v>
      </c>
      <c r="T241" s="341">
        <f t="shared" si="103"/>
        <v>214812.94999999998</v>
      </c>
    </row>
    <row r="242" spans="1:31" ht="20.399999999999999" customHeight="1" x14ac:dyDescent="0.2">
      <c r="A242" s="894"/>
      <c r="B242" s="847" t="s">
        <v>531</v>
      </c>
      <c r="C242" s="423" t="s">
        <v>298</v>
      </c>
      <c r="D242" s="830">
        <f>SUM(E242+F242)</f>
        <v>215330</v>
      </c>
      <c r="E242" s="387">
        <f>SUM(E131+E109+E87+E21+E65+E43)</f>
        <v>209234</v>
      </c>
      <c r="F242" s="415">
        <f>SUM(F131+F109+F87+F21+F65+F43)</f>
        <v>6096</v>
      </c>
      <c r="G242" s="827">
        <f t="shared" si="120"/>
        <v>219675.7</v>
      </c>
      <c r="H242" s="386">
        <f t="shared" si="120"/>
        <v>213188.75599999999</v>
      </c>
      <c r="I242" s="386">
        <f t="shared" si="120"/>
        <v>6486.9440000000004</v>
      </c>
      <c r="J242" s="827">
        <f t="shared" si="120"/>
        <v>246800.58999999997</v>
      </c>
      <c r="K242" s="380">
        <f t="shared" si="120"/>
        <v>241452.77</v>
      </c>
      <c r="L242" s="379">
        <f t="shared" si="120"/>
        <v>5347.8200000000006</v>
      </c>
      <c r="M242" s="735"/>
      <c r="N242" s="338"/>
      <c r="O242" s="338"/>
      <c r="P242" s="338"/>
      <c r="Q242" s="343" t="str">
        <f t="shared" si="100"/>
        <v>2015</v>
      </c>
      <c r="R242" s="342">
        <f t="shared" si="101"/>
        <v>215330</v>
      </c>
      <c r="S242" s="341">
        <f t="shared" si="102"/>
        <v>219675.7</v>
      </c>
      <c r="T242" s="341">
        <f t="shared" si="103"/>
        <v>246800.58999999997</v>
      </c>
      <c r="U242" s="350"/>
      <c r="V242" s="350"/>
      <c r="W242" s="350"/>
      <c r="X242" s="350"/>
      <c r="Y242" s="350"/>
      <c r="Z242" s="350"/>
      <c r="AA242" s="350"/>
      <c r="AB242" s="350"/>
      <c r="AC242" s="350"/>
      <c r="AD242" s="350"/>
      <c r="AE242" s="350"/>
    </row>
    <row r="243" spans="1:31" ht="20.399999999999999" customHeight="1" thickBot="1" x14ac:dyDescent="0.25">
      <c r="A243" s="895"/>
      <c r="B243" s="847" t="s">
        <v>531</v>
      </c>
      <c r="C243" s="423" t="s">
        <v>438</v>
      </c>
      <c r="D243" s="832">
        <f>SUM(E243+F243)</f>
        <v>221354</v>
      </c>
      <c r="E243" s="387">
        <f>SUM(E132+E110+E88+E22+E66+E44)</f>
        <v>218589</v>
      </c>
      <c r="F243" s="415">
        <f>SUM(F132+F110+F88+F22+F66+F44)</f>
        <v>2765</v>
      </c>
      <c r="G243" s="827">
        <f t="shared" si="120"/>
        <v>0</v>
      </c>
      <c r="H243" s="382">
        <f t="shared" si="120"/>
        <v>0</v>
      </c>
      <c r="I243" s="382">
        <f t="shared" si="120"/>
        <v>0</v>
      </c>
      <c r="J243" s="827">
        <f t="shared" si="120"/>
        <v>0</v>
      </c>
      <c r="K243" s="380">
        <f t="shared" si="120"/>
        <v>0</v>
      </c>
      <c r="L243" s="379">
        <f t="shared" si="120"/>
        <v>0</v>
      </c>
      <c r="M243" s="735"/>
      <c r="N243" s="338"/>
      <c r="O243" s="338"/>
      <c r="P243" s="338"/>
      <c r="Q243" s="343" t="str">
        <f t="shared" si="100"/>
        <v>2016</v>
      </c>
      <c r="R243" s="342">
        <f t="shared" si="101"/>
        <v>221354</v>
      </c>
      <c r="S243" s="341">
        <f t="shared" si="102"/>
        <v>0</v>
      </c>
      <c r="T243" s="341">
        <f t="shared" si="103"/>
        <v>0</v>
      </c>
      <c r="U243" s="350"/>
      <c r="V243" s="350"/>
      <c r="W243" s="350"/>
      <c r="X243" s="350"/>
      <c r="Y243" s="350"/>
      <c r="Z243" s="350"/>
      <c r="AA243" s="350"/>
      <c r="AB243" s="350"/>
      <c r="AC243" s="350"/>
      <c r="AD243" s="350"/>
      <c r="AE243" s="350"/>
    </row>
    <row r="244" spans="1:31" ht="69" customHeight="1" thickBot="1" x14ac:dyDescent="0.25">
      <c r="A244" s="896" t="s">
        <v>401</v>
      </c>
      <c r="B244" s="609" t="s">
        <v>204</v>
      </c>
      <c r="C244" s="412" t="s">
        <v>384</v>
      </c>
      <c r="D244" s="411" t="s">
        <v>383</v>
      </c>
      <c r="E244" s="410" t="s">
        <v>390</v>
      </c>
      <c r="F244" s="409" t="s">
        <v>389</v>
      </c>
      <c r="G244" s="838" t="s">
        <v>382</v>
      </c>
      <c r="H244" s="839" t="s">
        <v>388</v>
      </c>
      <c r="I244" s="840" t="s">
        <v>387</v>
      </c>
      <c r="J244" s="408" t="s">
        <v>381</v>
      </c>
      <c r="K244" s="407" t="s">
        <v>393</v>
      </c>
      <c r="L244" s="406" t="s">
        <v>392</v>
      </c>
      <c r="Q244" s="349" t="s">
        <v>384</v>
      </c>
      <c r="R244" s="348" t="s">
        <v>383</v>
      </c>
      <c r="S244" s="347" t="s">
        <v>382</v>
      </c>
      <c r="T244" s="346" t="s">
        <v>381</v>
      </c>
    </row>
    <row r="245" spans="1:31" ht="15.75" hidden="1" customHeight="1" outlineLevel="1" x14ac:dyDescent="0.2">
      <c r="A245" s="897"/>
      <c r="B245" s="615" t="s">
        <v>431</v>
      </c>
      <c r="C245" s="435" t="s">
        <v>434</v>
      </c>
      <c r="D245" s="405">
        <f t="shared" ref="D245:L245" si="121">SUM(D112+D134+D156)</f>
        <v>12056</v>
      </c>
      <c r="E245" s="404">
        <f t="shared" si="121"/>
        <v>3892.8</v>
      </c>
      <c r="F245" s="403">
        <f t="shared" si="121"/>
        <v>8163.2</v>
      </c>
      <c r="G245" s="402">
        <f t="shared" si="121"/>
        <v>44947.9</v>
      </c>
      <c r="H245" s="401">
        <f t="shared" si="121"/>
        <v>13679.86</v>
      </c>
      <c r="I245" s="400">
        <f t="shared" si="121"/>
        <v>31268.04</v>
      </c>
      <c r="J245" s="402">
        <f t="shared" si="121"/>
        <v>15397.650000000001</v>
      </c>
      <c r="K245" s="401">
        <f t="shared" si="121"/>
        <v>1042.54</v>
      </c>
      <c r="L245" s="400">
        <f t="shared" si="121"/>
        <v>14355.11</v>
      </c>
      <c r="M245" s="734">
        <f t="shared" ref="M245:M251" si="122">SUM(K245:L245)</f>
        <v>15397.650000000001</v>
      </c>
      <c r="N245" s="338"/>
      <c r="O245" s="338"/>
      <c r="P245" s="338"/>
      <c r="Q245" s="345" t="str">
        <f t="shared" ref="Q245:Q265" si="123">+C245</f>
        <v>1996</v>
      </c>
      <c r="R245" s="342">
        <f t="shared" ref="R245:R265" si="124">+D245</f>
        <v>12056</v>
      </c>
      <c r="S245" s="341">
        <f t="shared" ref="S245:S265" si="125">+G245</f>
        <v>44947.9</v>
      </c>
      <c r="T245" s="341">
        <f t="shared" ref="T245:T265" si="126">+J245</f>
        <v>15397.650000000001</v>
      </c>
      <c r="U245" s="391"/>
      <c r="V245" s="391"/>
      <c r="W245" s="391"/>
      <c r="X245" s="391"/>
      <c r="Y245" s="391"/>
      <c r="Z245" s="391"/>
      <c r="AA245" s="391"/>
      <c r="AB245" s="391"/>
      <c r="AC245" s="391"/>
      <c r="AD245" s="391"/>
      <c r="AE245" s="391"/>
    </row>
    <row r="246" spans="1:31" ht="15.75" hidden="1" customHeight="1" outlineLevel="1" x14ac:dyDescent="0.2">
      <c r="A246" s="897"/>
      <c r="B246" s="615" t="s">
        <v>431</v>
      </c>
      <c r="C246" s="399" t="s">
        <v>435</v>
      </c>
      <c r="D246" s="398">
        <f t="shared" ref="D246:L246" si="127">SUM(D113+D135+D157)</f>
        <v>34501</v>
      </c>
      <c r="E246" s="397">
        <f t="shared" si="127"/>
        <v>8200</v>
      </c>
      <c r="F246" s="396">
        <f t="shared" si="127"/>
        <v>26301</v>
      </c>
      <c r="G246" s="395">
        <f t="shared" si="127"/>
        <v>36611.990000000005</v>
      </c>
      <c r="H246" s="394">
        <f t="shared" si="127"/>
        <v>7657.88</v>
      </c>
      <c r="I246" s="393">
        <f t="shared" si="127"/>
        <v>28954.11</v>
      </c>
      <c r="J246" s="395">
        <f t="shared" si="127"/>
        <v>21959.01</v>
      </c>
      <c r="K246" s="394">
        <f t="shared" si="127"/>
        <v>991.06999999999994</v>
      </c>
      <c r="L246" s="393">
        <f t="shared" si="127"/>
        <v>20967.939999999999</v>
      </c>
      <c r="M246" s="734">
        <f t="shared" si="122"/>
        <v>21959.01</v>
      </c>
      <c r="N246" s="338"/>
      <c r="O246" s="338"/>
      <c r="P246" s="338"/>
      <c r="Q246" s="345" t="str">
        <f t="shared" si="123"/>
        <v>1997</v>
      </c>
      <c r="R246" s="342">
        <f t="shared" si="124"/>
        <v>34501</v>
      </c>
      <c r="S246" s="341">
        <f t="shared" si="125"/>
        <v>36611.990000000005</v>
      </c>
      <c r="T246" s="341">
        <f t="shared" si="126"/>
        <v>21959.01</v>
      </c>
      <c r="U246" s="391"/>
      <c r="V246" s="391"/>
      <c r="W246" s="391"/>
      <c r="X246" s="391"/>
      <c r="Y246" s="391"/>
      <c r="Z246" s="391"/>
      <c r="AA246" s="391"/>
      <c r="AB246" s="391"/>
      <c r="AC246" s="391"/>
      <c r="AD246" s="391"/>
      <c r="AE246" s="391"/>
    </row>
    <row r="247" spans="1:31" ht="15.75" hidden="1" customHeight="1" outlineLevel="1" x14ac:dyDescent="0.2">
      <c r="A247" s="897"/>
      <c r="B247" s="615" t="s">
        <v>431</v>
      </c>
      <c r="C247" s="399" t="s">
        <v>436</v>
      </c>
      <c r="D247" s="398">
        <f t="shared" ref="D247:L247" si="128">SUM(D114+D136+D158)</f>
        <v>20830</v>
      </c>
      <c r="E247" s="397">
        <f t="shared" si="128"/>
        <v>2530</v>
      </c>
      <c r="F247" s="396">
        <f t="shared" si="128"/>
        <v>18300</v>
      </c>
      <c r="G247" s="395">
        <f t="shared" si="128"/>
        <v>7501</v>
      </c>
      <c r="H247" s="394">
        <f t="shared" si="128"/>
        <v>2803</v>
      </c>
      <c r="I247" s="393">
        <f t="shared" si="128"/>
        <v>4698</v>
      </c>
      <c r="J247" s="395">
        <f t="shared" si="128"/>
        <v>24493.99</v>
      </c>
      <c r="K247" s="394">
        <f t="shared" si="128"/>
        <v>3293.93</v>
      </c>
      <c r="L247" s="393">
        <f t="shared" si="128"/>
        <v>21200.06</v>
      </c>
      <c r="M247" s="734">
        <f t="shared" si="122"/>
        <v>24493.99</v>
      </c>
      <c r="N247" s="338"/>
      <c r="O247" s="338"/>
      <c r="P247" s="338"/>
      <c r="Q247" s="345" t="str">
        <f t="shared" si="123"/>
        <v>1998</v>
      </c>
      <c r="R247" s="342">
        <f t="shared" si="124"/>
        <v>20830</v>
      </c>
      <c r="S247" s="341">
        <f t="shared" si="125"/>
        <v>7501</v>
      </c>
      <c r="T247" s="341">
        <f t="shared" si="126"/>
        <v>24493.99</v>
      </c>
      <c r="U247" s="391"/>
      <c r="V247" s="391"/>
      <c r="W247" s="391"/>
      <c r="X247" s="391"/>
      <c r="Y247" s="391"/>
      <c r="Z247" s="391"/>
      <c r="AA247" s="391"/>
      <c r="AB247" s="391"/>
      <c r="AC247" s="391"/>
      <c r="AD247" s="391"/>
      <c r="AE247" s="391"/>
    </row>
    <row r="248" spans="1:31" ht="15.75" hidden="1" customHeight="1" outlineLevel="1" x14ac:dyDescent="0.2">
      <c r="A248" s="897"/>
      <c r="B248" s="615" t="s">
        <v>431</v>
      </c>
      <c r="C248" s="389" t="s">
        <v>437</v>
      </c>
      <c r="D248" s="388">
        <f t="shared" ref="D248:L248" si="129">SUM(D115+D137+D159)</f>
        <v>49990</v>
      </c>
      <c r="E248" s="386">
        <f t="shared" si="129"/>
        <v>12766</v>
      </c>
      <c r="F248" s="381">
        <f t="shared" si="129"/>
        <v>37224</v>
      </c>
      <c r="G248" s="383">
        <f t="shared" si="129"/>
        <v>55548</v>
      </c>
      <c r="H248" s="384">
        <f t="shared" si="129"/>
        <v>9558.16</v>
      </c>
      <c r="I248" s="392">
        <f t="shared" si="129"/>
        <v>45989.84</v>
      </c>
      <c r="J248" s="383">
        <f t="shared" si="129"/>
        <v>44684.42</v>
      </c>
      <c r="K248" s="384">
        <f t="shared" si="129"/>
        <v>12534.380000000001</v>
      </c>
      <c r="L248" s="392">
        <f t="shared" si="129"/>
        <v>32150.039999999997</v>
      </c>
      <c r="M248" s="734">
        <f t="shared" si="122"/>
        <v>44684.42</v>
      </c>
      <c r="N248" s="338"/>
      <c r="O248" s="338"/>
      <c r="P248" s="338"/>
      <c r="Q248" s="345" t="str">
        <f t="shared" si="123"/>
        <v>1999</v>
      </c>
      <c r="R248" s="342">
        <f t="shared" si="124"/>
        <v>49990</v>
      </c>
      <c r="S248" s="341">
        <f t="shared" si="125"/>
        <v>55548</v>
      </c>
      <c r="T248" s="341">
        <f t="shared" si="126"/>
        <v>44684.42</v>
      </c>
      <c r="U248" s="391"/>
      <c r="V248" s="391"/>
      <c r="W248" s="391"/>
      <c r="X248" s="391"/>
      <c r="Y248" s="391"/>
      <c r="Z248" s="391"/>
      <c r="AA248" s="391"/>
      <c r="AB248" s="391"/>
      <c r="AC248" s="391"/>
      <c r="AD248" s="391"/>
      <c r="AE248" s="391"/>
    </row>
    <row r="249" spans="1:31" ht="17.399999999999999" hidden="1" customHeight="1" outlineLevel="1" x14ac:dyDescent="0.2">
      <c r="A249" s="897"/>
      <c r="B249" s="615" t="s">
        <v>431</v>
      </c>
      <c r="C249" s="428" t="s">
        <v>283</v>
      </c>
      <c r="D249" s="388">
        <f t="shared" ref="D249:L249" si="130">SUM(D116+D138+D160)</f>
        <v>40149</v>
      </c>
      <c r="E249" s="384">
        <f t="shared" si="130"/>
        <v>7790</v>
      </c>
      <c r="F249" s="392">
        <f t="shared" si="130"/>
        <v>32359</v>
      </c>
      <c r="G249" s="383">
        <f t="shared" si="130"/>
        <v>38918</v>
      </c>
      <c r="H249" s="384">
        <f t="shared" si="130"/>
        <v>8642.0400000000009</v>
      </c>
      <c r="I249" s="392">
        <f t="shared" si="130"/>
        <v>30275.96</v>
      </c>
      <c r="J249" s="383">
        <f t="shared" si="130"/>
        <v>49948.030000000006</v>
      </c>
      <c r="K249" s="380">
        <f t="shared" si="130"/>
        <v>6284.34</v>
      </c>
      <c r="L249" s="379">
        <f t="shared" si="130"/>
        <v>43663.69</v>
      </c>
      <c r="M249" s="734">
        <f t="shared" si="122"/>
        <v>49948.03</v>
      </c>
      <c r="N249" s="338"/>
      <c r="O249" s="338"/>
      <c r="P249" s="338"/>
      <c r="Q249" s="345" t="str">
        <f t="shared" si="123"/>
        <v>2000</v>
      </c>
      <c r="R249" s="342">
        <f t="shared" si="124"/>
        <v>40149</v>
      </c>
      <c r="S249" s="341">
        <f t="shared" si="125"/>
        <v>38918</v>
      </c>
      <c r="T249" s="341">
        <f t="shared" si="126"/>
        <v>49948.030000000006</v>
      </c>
      <c r="U249" s="391"/>
      <c r="V249" s="391"/>
      <c r="W249" s="391"/>
      <c r="X249" s="391"/>
      <c r="Y249" s="391"/>
      <c r="Z249" s="391"/>
      <c r="AA249" s="391"/>
      <c r="AB249" s="391"/>
      <c r="AC249" s="391"/>
      <c r="AD249" s="391"/>
      <c r="AE249" s="391"/>
    </row>
    <row r="250" spans="1:31" ht="17.399999999999999" hidden="1" customHeight="1" outlineLevel="1" x14ac:dyDescent="0.2">
      <c r="A250" s="897"/>
      <c r="B250" s="615" t="s">
        <v>431</v>
      </c>
      <c r="C250" s="389" t="s">
        <v>284</v>
      </c>
      <c r="D250" s="388">
        <f t="shared" ref="D250:L250" si="131">SUM(D117+D139+D161)</f>
        <v>38184</v>
      </c>
      <c r="E250" s="384">
        <f t="shared" si="131"/>
        <v>8566</v>
      </c>
      <c r="F250" s="392">
        <f t="shared" si="131"/>
        <v>29618</v>
      </c>
      <c r="G250" s="383">
        <f t="shared" si="131"/>
        <v>33099</v>
      </c>
      <c r="H250" s="384">
        <f t="shared" si="131"/>
        <v>5597</v>
      </c>
      <c r="I250" s="392">
        <f t="shared" si="131"/>
        <v>27502</v>
      </c>
      <c r="J250" s="383">
        <f t="shared" si="131"/>
        <v>41328.930000000008</v>
      </c>
      <c r="K250" s="380">
        <f t="shared" si="131"/>
        <v>7245.5199999999995</v>
      </c>
      <c r="L250" s="379">
        <f t="shared" si="131"/>
        <v>34083.410000000003</v>
      </c>
      <c r="M250" s="734">
        <f t="shared" si="122"/>
        <v>41328.93</v>
      </c>
      <c r="N250" s="338"/>
      <c r="O250" s="338"/>
      <c r="P250" s="338"/>
      <c r="Q250" s="343" t="str">
        <f t="shared" si="123"/>
        <v>2001</v>
      </c>
      <c r="R250" s="342">
        <f t="shared" si="124"/>
        <v>38184</v>
      </c>
      <c r="S250" s="341">
        <f t="shared" si="125"/>
        <v>33099</v>
      </c>
      <c r="T250" s="341">
        <f t="shared" si="126"/>
        <v>41328.930000000008</v>
      </c>
      <c r="U250" s="391"/>
      <c r="V250" s="391"/>
      <c r="W250" s="391"/>
      <c r="X250" s="391"/>
      <c r="Y250" s="391"/>
      <c r="Z250" s="391"/>
      <c r="AA250" s="391"/>
      <c r="AB250" s="391"/>
      <c r="AC250" s="391"/>
      <c r="AD250" s="391"/>
      <c r="AE250" s="391"/>
    </row>
    <row r="251" spans="1:31" ht="17.399999999999999" hidden="1" customHeight="1" outlineLevel="1" x14ac:dyDescent="0.2">
      <c r="A251" s="897"/>
      <c r="B251" s="615" t="s">
        <v>431</v>
      </c>
      <c r="C251" s="389" t="s">
        <v>285</v>
      </c>
      <c r="D251" s="388">
        <f t="shared" ref="D251:L251" si="132">SUM(D140+D162)</f>
        <v>19900</v>
      </c>
      <c r="E251" s="384">
        <f t="shared" si="132"/>
        <v>900</v>
      </c>
      <c r="F251" s="392">
        <f t="shared" si="132"/>
        <v>19000</v>
      </c>
      <c r="G251" s="383">
        <f t="shared" si="132"/>
        <v>20623</v>
      </c>
      <c r="H251" s="384">
        <f t="shared" si="132"/>
        <v>1335.94</v>
      </c>
      <c r="I251" s="392">
        <f t="shared" si="132"/>
        <v>19287.060000000001</v>
      </c>
      <c r="J251" s="383">
        <f t="shared" si="132"/>
        <v>30736.309999999998</v>
      </c>
      <c r="K251" s="380">
        <f t="shared" si="132"/>
        <v>4594.43</v>
      </c>
      <c r="L251" s="379">
        <f t="shared" si="132"/>
        <v>26141.879999999997</v>
      </c>
      <c r="M251" s="734">
        <f t="shared" si="122"/>
        <v>30736.309999999998</v>
      </c>
      <c r="N251" s="338"/>
      <c r="O251" s="338"/>
      <c r="P251" s="338"/>
      <c r="Q251" s="343" t="str">
        <f t="shared" si="123"/>
        <v>2002</v>
      </c>
      <c r="R251" s="342">
        <f t="shared" si="124"/>
        <v>19900</v>
      </c>
      <c r="S251" s="341">
        <f t="shared" si="125"/>
        <v>20623</v>
      </c>
      <c r="T251" s="341">
        <f t="shared" si="126"/>
        <v>30736.309999999998</v>
      </c>
      <c r="U251" s="391"/>
      <c r="V251" s="391"/>
      <c r="W251" s="391"/>
      <c r="X251" s="391"/>
      <c r="Y251" s="391"/>
      <c r="Z251" s="391"/>
      <c r="AA251" s="391"/>
      <c r="AB251" s="391"/>
      <c r="AC251" s="391"/>
      <c r="AD251" s="391"/>
      <c r="AE251" s="391"/>
    </row>
    <row r="252" spans="1:31" ht="17.399999999999999" hidden="1" customHeight="1" outlineLevel="1" x14ac:dyDescent="0.2">
      <c r="A252" s="897"/>
      <c r="B252" s="615" t="s">
        <v>431</v>
      </c>
      <c r="C252" s="389" t="s">
        <v>286</v>
      </c>
      <c r="D252" s="388">
        <f t="shared" ref="D252:L252" si="133">SUM(D141+D163)</f>
        <v>28711</v>
      </c>
      <c r="E252" s="384">
        <f t="shared" si="133"/>
        <v>936.83</v>
      </c>
      <c r="F252" s="392">
        <f t="shared" si="133"/>
        <v>27774.17</v>
      </c>
      <c r="G252" s="383">
        <f t="shared" si="133"/>
        <v>16577</v>
      </c>
      <c r="H252" s="384">
        <f t="shared" si="133"/>
        <v>1124.8499999999999</v>
      </c>
      <c r="I252" s="392">
        <f t="shared" si="133"/>
        <v>15452.15</v>
      </c>
      <c r="J252" s="383">
        <f t="shared" si="133"/>
        <v>20762.320000000003</v>
      </c>
      <c r="K252" s="380">
        <f t="shared" si="133"/>
        <v>2638.54</v>
      </c>
      <c r="L252" s="379">
        <f t="shared" si="133"/>
        <v>18123.780000000002</v>
      </c>
      <c r="M252" s="734"/>
      <c r="N252" s="338"/>
      <c r="O252" s="338"/>
      <c r="P252" s="338"/>
      <c r="Q252" s="343" t="str">
        <f t="shared" si="123"/>
        <v>2003</v>
      </c>
      <c r="R252" s="342">
        <f t="shared" si="124"/>
        <v>28711</v>
      </c>
      <c r="S252" s="341">
        <f t="shared" si="125"/>
        <v>16577</v>
      </c>
      <c r="T252" s="341">
        <f t="shared" si="126"/>
        <v>20762.320000000003</v>
      </c>
      <c r="U252" s="391"/>
      <c r="V252" s="391"/>
      <c r="W252" s="391"/>
      <c r="X252" s="391"/>
      <c r="Y252" s="391"/>
      <c r="Z252" s="391"/>
      <c r="AA252" s="391"/>
      <c r="AB252" s="391"/>
      <c r="AC252" s="391"/>
      <c r="AD252" s="391"/>
      <c r="AE252" s="391"/>
    </row>
    <row r="253" spans="1:31" ht="17.399999999999999" hidden="1" customHeight="1" outlineLevel="1" x14ac:dyDescent="0.2">
      <c r="A253" s="897"/>
      <c r="B253" s="615" t="s">
        <v>431</v>
      </c>
      <c r="C253" s="389" t="s">
        <v>287</v>
      </c>
      <c r="D253" s="388">
        <f t="shared" ref="D253:L253" si="134">SUM(D142+D164)</f>
        <v>30690</v>
      </c>
      <c r="E253" s="384">
        <f t="shared" si="134"/>
        <v>4690</v>
      </c>
      <c r="F253" s="392">
        <f t="shared" si="134"/>
        <v>26000</v>
      </c>
      <c r="G253" s="383">
        <f t="shared" si="134"/>
        <v>34284</v>
      </c>
      <c r="H253" s="384">
        <f t="shared" si="134"/>
        <v>1744.91</v>
      </c>
      <c r="I253" s="392">
        <f t="shared" si="134"/>
        <v>32539.09</v>
      </c>
      <c r="J253" s="383">
        <f t="shared" si="134"/>
        <v>30136.67</v>
      </c>
      <c r="K253" s="380">
        <f t="shared" si="134"/>
        <v>1073.3499999999999</v>
      </c>
      <c r="L253" s="379">
        <f t="shared" si="134"/>
        <v>29063.32</v>
      </c>
      <c r="M253" s="734"/>
      <c r="N253" s="338"/>
      <c r="O253" s="338"/>
      <c r="P253" s="338"/>
      <c r="Q253" s="343" t="str">
        <f t="shared" si="123"/>
        <v>2004</v>
      </c>
      <c r="R253" s="342">
        <f t="shared" si="124"/>
        <v>30690</v>
      </c>
      <c r="S253" s="341">
        <f t="shared" si="125"/>
        <v>34284</v>
      </c>
      <c r="T253" s="341">
        <f t="shared" si="126"/>
        <v>30136.67</v>
      </c>
      <c r="U253" s="391"/>
      <c r="V253" s="391"/>
      <c r="W253" s="391"/>
      <c r="X253" s="391"/>
      <c r="Y253" s="391"/>
      <c r="Z253" s="391"/>
      <c r="AA253" s="391"/>
      <c r="AB253" s="391"/>
      <c r="AC253" s="391"/>
      <c r="AD253" s="391"/>
      <c r="AE253" s="391"/>
    </row>
    <row r="254" spans="1:31" ht="17.399999999999999" hidden="1" customHeight="1" outlineLevel="1" x14ac:dyDescent="0.2">
      <c r="A254" s="897"/>
      <c r="B254" s="615" t="s">
        <v>431</v>
      </c>
      <c r="C254" s="389" t="s">
        <v>288</v>
      </c>
      <c r="D254" s="388">
        <f t="shared" ref="D254:L254" si="135">SUM(D143+D165)</f>
        <v>24902</v>
      </c>
      <c r="E254" s="384">
        <f t="shared" si="135"/>
        <v>5118.32</v>
      </c>
      <c r="F254" s="392">
        <f t="shared" si="135"/>
        <v>19783.68</v>
      </c>
      <c r="G254" s="383">
        <f t="shared" si="135"/>
        <v>32311</v>
      </c>
      <c r="H254" s="384">
        <f t="shared" si="135"/>
        <v>3215</v>
      </c>
      <c r="I254" s="392">
        <f t="shared" si="135"/>
        <v>29096</v>
      </c>
      <c r="J254" s="383">
        <f t="shared" si="135"/>
        <v>34727.550000000003</v>
      </c>
      <c r="K254" s="380">
        <f t="shared" si="135"/>
        <v>388.48</v>
      </c>
      <c r="L254" s="379">
        <f t="shared" si="135"/>
        <v>34339.07</v>
      </c>
      <c r="M254" s="734"/>
      <c r="N254" s="338"/>
      <c r="O254" s="338"/>
      <c r="P254" s="338"/>
      <c r="Q254" s="343" t="str">
        <f t="shared" si="123"/>
        <v>2005</v>
      </c>
      <c r="R254" s="342">
        <f t="shared" si="124"/>
        <v>24902</v>
      </c>
      <c r="S254" s="341">
        <f t="shared" si="125"/>
        <v>32311</v>
      </c>
      <c r="T254" s="341">
        <f t="shared" si="126"/>
        <v>34727.550000000003</v>
      </c>
      <c r="U254" s="391"/>
      <c r="V254" s="391"/>
      <c r="W254" s="391"/>
      <c r="X254" s="391"/>
      <c r="Y254" s="391"/>
      <c r="Z254" s="391"/>
      <c r="AA254" s="391"/>
      <c r="AB254" s="391"/>
      <c r="AC254" s="391"/>
      <c r="AD254" s="391"/>
      <c r="AE254" s="391"/>
    </row>
    <row r="255" spans="1:31" ht="17.399999999999999" customHeight="1" collapsed="1" x14ac:dyDescent="0.2">
      <c r="A255" s="897"/>
      <c r="B255" s="615" t="s">
        <v>431</v>
      </c>
      <c r="C255" s="389" t="s">
        <v>289</v>
      </c>
      <c r="D255" s="824">
        <f t="shared" ref="D255:L255" si="136">SUM(D144+D166)</f>
        <v>28843</v>
      </c>
      <c r="E255" s="384">
        <f t="shared" si="136"/>
        <v>4730.5</v>
      </c>
      <c r="F255" s="392">
        <f t="shared" si="136"/>
        <v>24112.5</v>
      </c>
      <c r="G255" s="827">
        <f t="shared" si="136"/>
        <v>32584</v>
      </c>
      <c r="H255" s="386">
        <f t="shared" si="136"/>
        <v>6885.79</v>
      </c>
      <c r="I255" s="381">
        <f t="shared" si="136"/>
        <v>25698.21</v>
      </c>
      <c r="J255" s="827">
        <f t="shared" si="136"/>
        <v>14030.33</v>
      </c>
      <c r="K255" s="380">
        <f t="shared" si="136"/>
        <v>2951.1499999999996</v>
      </c>
      <c r="L255" s="379">
        <f t="shared" si="136"/>
        <v>11079.18</v>
      </c>
      <c r="M255" s="734"/>
      <c r="N255" s="338"/>
      <c r="O255" s="338"/>
      <c r="P255" s="338"/>
      <c r="Q255" s="343" t="str">
        <f t="shared" si="123"/>
        <v>2006</v>
      </c>
      <c r="R255" s="342">
        <f t="shared" si="124"/>
        <v>28843</v>
      </c>
      <c r="S255" s="341">
        <f t="shared" si="125"/>
        <v>32584</v>
      </c>
      <c r="T255" s="341">
        <f t="shared" si="126"/>
        <v>14030.33</v>
      </c>
      <c r="U255" s="391"/>
      <c r="V255" s="391"/>
      <c r="W255" s="391"/>
      <c r="X255" s="391"/>
      <c r="Y255" s="391"/>
      <c r="Z255" s="391"/>
      <c r="AA255" s="391"/>
      <c r="AB255" s="391"/>
      <c r="AC255" s="391"/>
      <c r="AD255" s="391"/>
      <c r="AE255" s="391"/>
    </row>
    <row r="256" spans="1:31" ht="17.399999999999999" customHeight="1" x14ac:dyDescent="0.2">
      <c r="A256" s="897"/>
      <c r="B256" s="615" t="s">
        <v>431</v>
      </c>
      <c r="C256" s="389" t="s">
        <v>290</v>
      </c>
      <c r="D256" s="824">
        <f t="shared" ref="D256:L256" si="137">SUM(D145+D167)</f>
        <v>24385</v>
      </c>
      <c r="E256" s="384">
        <f t="shared" si="137"/>
        <v>8089.36</v>
      </c>
      <c r="F256" s="392">
        <f t="shared" si="137"/>
        <v>16295.64</v>
      </c>
      <c r="G256" s="827">
        <f t="shared" si="137"/>
        <v>11290</v>
      </c>
      <c r="H256" s="386">
        <f t="shared" si="137"/>
        <v>2713</v>
      </c>
      <c r="I256" s="381">
        <f t="shared" si="137"/>
        <v>8577</v>
      </c>
      <c r="J256" s="827">
        <f t="shared" si="137"/>
        <v>25255.74</v>
      </c>
      <c r="K256" s="380">
        <f t="shared" si="137"/>
        <v>4239.04</v>
      </c>
      <c r="L256" s="379">
        <f t="shared" si="137"/>
        <v>21016.7</v>
      </c>
      <c r="N256" s="338"/>
      <c r="O256" s="338"/>
      <c r="P256" s="338"/>
      <c r="Q256" s="343" t="str">
        <f t="shared" si="123"/>
        <v>2007</v>
      </c>
      <c r="R256" s="342">
        <f t="shared" si="124"/>
        <v>24385</v>
      </c>
      <c r="S256" s="341">
        <f t="shared" si="125"/>
        <v>11290</v>
      </c>
      <c r="T256" s="341">
        <f t="shared" si="126"/>
        <v>25255.74</v>
      </c>
    </row>
    <row r="257" spans="1:31" ht="17.399999999999999" customHeight="1" x14ac:dyDescent="0.2">
      <c r="A257" s="897"/>
      <c r="B257" s="615" t="s">
        <v>431</v>
      </c>
      <c r="C257" s="389" t="s">
        <v>291</v>
      </c>
      <c r="D257" s="824">
        <f t="shared" ref="D257:L257" si="138">SUM(D146+D168)</f>
        <v>23200</v>
      </c>
      <c r="E257" s="384">
        <f t="shared" si="138"/>
        <v>3967</v>
      </c>
      <c r="F257" s="392">
        <f t="shared" si="138"/>
        <v>19233</v>
      </c>
      <c r="G257" s="827">
        <f t="shared" si="138"/>
        <v>30613</v>
      </c>
      <c r="H257" s="386">
        <f t="shared" si="138"/>
        <v>8554</v>
      </c>
      <c r="I257" s="381">
        <f t="shared" si="138"/>
        <v>22059</v>
      </c>
      <c r="J257" s="827">
        <f t="shared" si="138"/>
        <v>20708</v>
      </c>
      <c r="K257" s="380">
        <f t="shared" si="138"/>
        <v>6041</v>
      </c>
      <c r="L257" s="379">
        <f t="shared" si="138"/>
        <v>14667</v>
      </c>
      <c r="N257" s="338"/>
      <c r="O257" s="338"/>
      <c r="P257" s="338"/>
      <c r="Q257" s="343" t="str">
        <f t="shared" si="123"/>
        <v>2008</v>
      </c>
      <c r="R257" s="342">
        <f t="shared" si="124"/>
        <v>23200</v>
      </c>
      <c r="S257" s="341">
        <f t="shared" si="125"/>
        <v>30613</v>
      </c>
      <c r="T257" s="341">
        <f t="shared" si="126"/>
        <v>20708</v>
      </c>
    </row>
    <row r="258" spans="1:31" ht="17.399999999999999" customHeight="1" x14ac:dyDescent="0.2">
      <c r="A258" s="897"/>
      <c r="B258" s="615" t="s">
        <v>431</v>
      </c>
      <c r="C258" s="389" t="s">
        <v>292</v>
      </c>
      <c r="D258" s="824">
        <f t="shared" ref="D258:L258" si="139">SUM(D147+D169)</f>
        <v>31310.75</v>
      </c>
      <c r="E258" s="384">
        <f t="shared" si="139"/>
        <v>1549.75</v>
      </c>
      <c r="F258" s="392">
        <f t="shared" si="139"/>
        <v>29761</v>
      </c>
      <c r="G258" s="827">
        <f t="shared" si="139"/>
        <v>35564.092499999999</v>
      </c>
      <c r="H258" s="386">
        <f t="shared" si="139"/>
        <v>2058.8024999999998</v>
      </c>
      <c r="I258" s="386">
        <f t="shared" si="139"/>
        <v>33505.29</v>
      </c>
      <c r="J258" s="827">
        <f t="shared" si="139"/>
        <v>23701.26</v>
      </c>
      <c r="K258" s="380">
        <f t="shared" si="139"/>
        <v>4958.9399999999996</v>
      </c>
      <c r="L258" s="379">
        <f t="shared" si="139"/>
        <v>18742.32</v>
      </c>
      <c r="N258" s="338"/>
      <c r="O258" s="338"/>
      <c r="P258" s="338"/>
      <c r="Q258" s="343" t="str">
        <f t="shared" si="123"/>
        <v>2009</v>
      </c>
      <c r="R258" s="342">
        <f t="shared" si="124"/>
        <v>31310.75</v>
      </c>
      <c r="S258" s="341">
        <f t="shared" si="125"/>
        <v>35564.092499999999</v>
      </c>
      <c r="T258" s="341">
        <f t="shared" si="126"/>
        <v>23701.26</v>
      </c>
    </row>
    <row r="259" spans="1:31" ht="17.399999999999999" customHeight="1" x14ac:dyDescent="0.2">
      <c r="A259" s="897"/>
      <c r="B259" s="615" t="s">
        <v>431</v>
      </c>
      <c r="C259" s="389" t="s">
        <v>293</v>
      </c>
      <c r="D259" s="824">
        <f t="shared" ref="D259:L259" si="140">SUM(D148+D170)</f>
        <v>28320</v>
      </c>
      <c r="E259" s="384">
        <f t="shared" si="140"/>
        <v>616.1</v>
      </c>
      <c r="F259" s="392">
        <f t="shared" si="140"/>
        <v>27703.9</v>
      </c>
      <c r="G259" s="827">
        <f t="shared" si="140"/>
        <v>25081</v>
      </c>
      <c r="H259" s="386">
        <f t="shared" si="140"/>
        <v>614.08000000000004</v>
      </c>
      <c r="I259" s="386">
        <f t="shared" si="140"/>
        <v>24466.92</v>
      </c>
      <c r="J259" s="827">
        <f t="shared" si="140"/>
        <v>19469</v>
      </c>
      <c r="K259" s="380">
        <f t="shared" si="140"/>
        <v>3424</v>
      </c>
      <c r="L259" s="379">
        <f t="shared" si="140"/>
        <v>16045</v>
      </c>
      <c r="N259" s="338"/>
      <c r="O259" s="338"/>
      <c r="P259" s="338"/>
      <c r="Q259" s="343" t="str">
        <f t="shared" si="123"/>
        <v>2010</v>
      </c>
      <c r="R259" s="342">
        <f t="shared" si="124"/>
        <v>28320</v>
      </c>
      <c r="S259" s="341">
        <f t="shared" si="125"/>
        <v>25081</v>
      </c>
      <c r="T259" s="341">
        <f t="shared" si="126"/>
        <v>19469</v>
      </c>
    </row>
    <row r="260" spans="1:31" ht="17.399999999999999" customHeight="1" x14ac:dyDescent="0.2">
      <c r="A260" s="897"/>
      <c r="B260" s="615" t="s">
        <v>431</v>
      </c>
      <c r="C260" s="427" t="s">
        <v>294</v>
      </c>
      <c r="D260" s="834">
        <f t="shared" ref="D260:L260" si="141">SUM(D149+D171)</f>
        <v>29199</v>
      </c>
      <c r="E260" s="387">
        <f t="shared" si="141"/>
        <v>5335</v>
      </c>
      <c r="F260" s="415">
        <f t="shared" si="141"/>
        <v>23864</v>
      </c>
      <c r="G260" s="835">
        <f t="shared" si="141"/>
        <v>24771</v>
      </c>
      <c r="H260" s="382">
        <f t="shared" si="141"/>
        <v>6356</v>
      </c>
      <c r="I260" s="382">
        <f t="shared" si="141"/>
        <v>18415</v>
      </c>
      <c r="J260" s="835">
        <f t="shared" si="141"/>
        <v>31794</v>
      </c>
      <c r="K260" s="413">
        <f t="shared" si="141"/>
        <v>3921</v>
      </c>
      <c r="L260" s="390">
        <f t="shared" si="141"/>
        <v>27873</v>
      </c>
      <c r="N260" s="338"/>
      <c r="O260" s="338"/>
      <c r="P260" s="338"/>
      <c r="Q260" s="343" t="str">
        <f t="shared" si="123"/>
        <v>2011</v>
      </c>
      <c r="R260" s="342">
        <f t="shared" si="124"/>
        <v>29199</v>
      </c>
      <c r="S260" s="341">
        <f t="shared" si="125"/>
        <v>24771</v>
      </c>
      <c r="T260" s="341">
        <f t="shared" si="126"/>
        <v>31794</v>
      </c>
    </row>
    <row r="261" spans="1:31" ht="17.399999999999999" customHeight="1" x14ac:dyDescent="0.2">
      <c r="A261" s="897"/>
      <c r="B261" s="615" t="s">
        <v>431</v>
      </c>
      <c r="C261" s="423" t="s">
        <v>295</v>
      </c>
      <c r="D261" s="834">
        <f t="shared" ref="D261:L261" si="142">SUM(D150+D172)</f>
        <v>2000</v>
      </c>
      <c r="E261" s="387">
        <f t="shared" si="142"/>
        <v>0</v>
      </c>
      <c r="F261" s="415">
        <f t="shared" si="142"/>
        <v>2000</v>
      </c>
      <c r="G261" s="835">
        <f t="shared" si="142"/>
        <v>1458</v>
      </c>
      <c r="H261" s="382">
        <f t="shared" si="142"/>
        <v>0</v>
      </c>
      <c r="I261" s="382">
        <f t="shared" si="142"/>
        <v>1458</v>
      </c>
      <c r="J261" s="835">
        <f t="shared" si="142"/>
        <v>32620.58</v>
      </c>
      <c r="K261" s="413">
        <f t="shared" si="142"/>
        <v>1776.83</v>
      </c>
      <c r="L261" s="390">
        <f t="shared" si="142"/>
        <v>30843.75</v>
      </c>
      <c r="N261" s="338"/>
      <c r="O261" s="338"/>
      <c r="P261" s="338"/>
      <c r="Q261" s="343" t="str">
        <f t="shared" si="123"/>
        <v>2012</v>
      </c>
      <c r="R261" s="342">
        <f t="shared" si="124"/>
        <v>2000</v>
      </c>
      <c r="S261" s="341">
        <f t="shared" si="125"/>
        <v>1458</v>
      </c>
      <c r="T261" s="341">
        <f t="shared" si="126"/>
        <v>32620.58</v>
      </c>
    </row>
    <row r="262" spans="1:31" ht="17.399999999999999" customHeight="1" x14ac:dyDescent="0.2">
      <c r="A262" s="897"/>
      <c r="B262" s="615" t="s">
        <v>431</v>
      </c>
      <c r="C262" s="423" t="s">
        <v>296</v>
      </c>
      <c r="D262" s="834">
        <f t="shared" ref="D262:L262" si="143">SUM(D151+D173)</f>
        <v>16082</v>
      </c>
      <c r="E262" s="387">
        <f t="shared" si="143"/>
        <v>3181</v>
      </c>
      <c r="F262" s="415">
        <f t="shared" si="143"/>
        <v>12901</v>
      </c>
      <c r="G262" s="835">
        <f t="shared" si="143"/>
        <v>13607</v>
      </c>
      <c r="H262" s="382">
        <f t="shared" si="143"/>
        <v>3434</v>
      </c>
      <c r="I262" s="382">
        <f t="shared" si="143"/>
        <v>10173</v>
      </c>
      <c r="J262" s="835">
        <f t="shared" si="143"/>
        <v>8316.2999999999993</v>
      </c>
      <c r="K262" s="413">
        <f t="shared" si="143"/>
        <v>1310.91</v>
      </c>
      <c r="L262" s="390">
        <f t="shared" si="143"/>
        <v>7005.39</v>
      </c>
      <c r="N262" s="338"/>
      <c r="O262" s="338"/>
      <c r="P262" s="338"/>
      <c r="Q262" s="343" t="str">
        <f t="shared" si="123"/>
        <v>2013</v>
      </c>
      <c r="R262" s="342">
        <f t="shared" si="124"/>
        <v>16082</v>
      </c>
      <c r="S262" s="341">
        <f t="shared" si="125"/>
        <v>13607</v>
      </c>
      <c r="T262" s="341">
        <f t="shared" si="126"/>
        <v>8316.2999999999993</v>
      </c>
    </row>
    <row r="263" spans="1:31" ht="17.399999999999999" customHeight="1" x14ac:dyDescent="0.2">
      <c r="A263" s="897"/>
      <c r="B263" s="615" t="s">
        <v>431</v>
      </c>
      <c r="C263" s="423" t="s">
        <v>297</v>
      </c>
      <c r="D263" s="834">
        <f t="shared" ref="D263:L263" si="144">SUM(D152+D174)</f>
        <v>12030</v>
      </c>
      <c r="E263" s="387">
        <f t="shared" si="144"/>
        <v>2490</v>
      </c>
      <c r="F263" s="415">
        <f t="shared" si="144"/>
        <v>9540</v>
      </c>
      <c r="G263" s="835">
        <f t="shared" si="144"/>
        <v>8639</v>
      </c>
      <c r="H263" s="386">
        <f t="shared" si="144"/>
        <v>1936</v>
      </c>
      <c r="I263" s="386">
        <f t="shared" si="144"/>
        <v>6703</v>
      </c>
      <c r="J263" s="835">
        <f t="shared" si="144"/>
        <v>8248.7000000000007</v>
      </c>
      <c r="K263" s="413">
        <f t="shared" si="144"/>
        <v>766.71</v>
      </c>
      <c r="L263" s="390">
        <f t="shared" si="144"/>
        <v>7481.99</v>
      </c>
      <c r="N263" s="338"/>
      <c r="O263" s="338"/>
      <c r="P263" s="338"/>
      <c r="Q263" s="340" t="str">
        <f t="shared" si="123"/>
        <v>2014</v>
      </c>
      <c r="R263" s="339">
        <f t="shared" si="124"/>
        <v>12030</v>
      </c>
      <c r="S263" s="385">
        <f t="shared" si="125"/>
        <v>8639</v>
      </c>
      <c r="T263" s="385">
        <f t="shared" si="126"/>
        <v>8248.7000000000007</v>
      </c>
    </row>
    <row r="264" spans="1:31" ht="17.399999999999999" customHeight="1" x14ac:dyDescent="0.2">
      <c r="A264" s="897"/>
      <c r="B264" s="615" t="s">
        <v>431</v>
      </c>
      <c r="C264" s="423" t="s">
        <v>298</v>
      </c>
      <c r="D264" s="834">
        <f t="shared" ref="D264:L264" si="145">SUM(D153+D175)</f>
        <v>14662</v>
      </c>
      <c r="E264" s="387">
        <f t="shared" si="145"/>
        <v>4262</v>
      </c>
      <c r="F264" s="415">
        <f t="shared" si="145"/>
        <v>10400</v>
      </c>
      <c r="G264" s="835">
        <f t="shared" si="145"/>
        <v>3408</v>
      </c>
      <c r="H264" s="386">
        <f t="shared" si="145"/>
        <v>1447</v>
      </c>
      <c r="I264" s="386">
        <f t="shared" si="145"/>
        <v>1961</v>
      </c>
      <c r="J264" s="835">
        <f t="shared" si="145"/>
        <v>9886.09</v>
      </c>
      <c r="K264" s="413">
        <f t="shared" si="145"/>
        <v>1347.24</v>
      </c>
      <c r="L264" s="390">
        <f t="shared" si="145"/>
        <v>8538.85</v>
      </c>
      <c r="M264" s="735"/>
      <c r="N264" s="338"/>
      <c r="O264" s="338"/>
      <c r="P264" s="338"/>
      <c r="Q264" s="378" t="str">
        <f t="shared" si="123"/>
        <v>2015</v>
      </c>
      <c r="R264" s="377">
        <f t="shared" si="124"/>
        <v>14662</v>
      </c>
      <c r="S264" s="376">
        <f t="shared" si="125"/>
        <v>3408</v>
      </c>
      <c r="T264" s="376">
        <f t="shared" si="126"/>
        <v>9886.09</v>
      </c>
      <c r="U264" s="350"/>
      <c r="V264" s="350"/>
      <c r="W264" s="350"/>
      <c r="X264" s="350"/>
      <c r="Y264" s="350"/>
      <c r="Z264" s="350"/>
      <c r="AA264" s="350"/>
      <c r="AB264" s="350"/>
      <c r="AC264" s="350"/>
      <c r="AD264" s="350"/>
      <c r="AE264" s="350"/>
    </row>
    <row r="265" spans="1:31" ht="17.399999999999999" customHeight="1" thickBot="1" x14ac:dyDescent="0.25">
      <c r="A265" s="898"/>
      <c r="B265" s="615" t="s">
        <v>431</v>
      </c>
      <c r="C265" s="423" t="s">
        <v>438</v>
      </c>
      <c r="D265" s="832">
        <f t="shared" ref="D265:L265" si="146">SUM(D154+D176)</f>
        <v>13945</v>
      </c>
      <c r="E265" s="375">
        <f t="shared" si="146"/>
        <v>1830</v>
      </c>
      <c r="F265" s="414">
        <f t="shared" si="146"/>
        <v>12115</v>
      </c>
      <c r="G265" s="833">
        <f t="shared" si="146"/>
        <v>0</v>
      </c>
      <c r="H265" s="382">
        <f t="shared" si="146"/>
        <v>0</v>
      </c>
      <c r="I265" s="382">
        <f t="shared" si="146"/>
        <v>0</v>
      </c>
      <c r="J265" s="833">
        <f t="shared" si="146"/>
        <v>0</v>
      </c>
      <c r="K265" s="413">
        <f t="shared" si="146"/>
        <v>0</v>
      </c>
      <c r="L265" s="390">
        <f t="shared" si="146"/>
        <v>0</v>
      </c>
      <c r="M265" s="735"/>
      <c r="N265" s="338"/>
      <c r="O265" s="338"/>
      <c r="P265" s="338"/>
      <c r="Q265" s="343" t="str">
        <f t="shared" si="123"/>
        <v>2016</v>
      </c>
      <c r="R265" s="342">
        <f t="shared" si="124"/>
        <v>13945</v>
      </c>
      <c r="S265" s="341">
        <f t="shared" si="125"/>
        <v>0</v>
      </c>
      <c r="T265" s="341">
        <f t="shared" si="126"/>
        <v>0</v>
      </c>
      <c r="U265" s="350"/>
      <c r="V265" s="350"/>
      <c r="W265" s="350"/>
      <c r="X265" s="350"/>
      <c r="Y265" s="350"/>
      <c r="Z265" s="350"/>
      <c r="AA265" s="350"/>
      <c r="AB265" s="350"/>
      <c r="AC265" s="350"/>
      <c r="AD265" s="350"/>
      <c r="AE265" s="350"/>
    </row>
    <row r="266" spans="1:31" ht="67.8" customHeight="1" thickBot="1" x14ac:dyDescent="0.25">
      <c r="A266" s="896" t="s">
        <v>391</v>
      </c>
      <c r="B266" s="609" t="s">
        <v>204</v>
      </c>
      <c r="C266" s="412" t="s">
        <v>384</v>
      </c>
      <c r="D266" s="411" t="s">
        <v>383</v>
      </c>
      <c r="E266" s="410" t="s">
        <v>390</v>
      </c>
      <c r="F266" s="409" t="s">
        <v>389</v>
      </c>
      <c r="G266" s="838" t="s">
        <v>382</v>
      </c>
      <c r="H266" s="839" t="s">
        <v>388</v>
      </c>
      <c r="I266" s="840" t="s">
        <v>387</v>
      </c>
      <c r="J266" s="408" t="s">
        <v>381</v>
      </c>
      <c r="K266" s="407" t="s">
        <v>386</v>
      </c>
      <c r="L266" s="406" t="s">
        <v>385</v>
      </c>
      <c r="M266" s="738" t="s">
        <v>520</v>
      </c>
      <c r="Q266" s="349" t="s">
        <v>384</v>
      </c>
      <c r="R266" s="348" t="s">
        <v>383</v>
      </c>
      <c r="S266" s="347" t="s">
        <v>382</v>
      </c>
      <c r="T266" s="346" t="s">
        <v>381</v>
      </c>
    </row>
    <row r="267" spans="1:31" ht="15.75" hidden="1" customHeight="1" outlineLevel="1" x14ac:dyDescent="0.2">
      <c r="A267" s="897"/>
      <c r="B267" s="615" t="s">
        <v>432</v>
      </c>
      <c r="C267" s="435" t="s">
        <v>434</v>
      </c>
      <c r="D267" s="405">
        <f t="shared" ref="D267:L267" si="147">SUM(D2+D24+D46+D68+D90+D112+D134+D156+D178)</f>
        <v>82077</v>
      </c>
      <c r="E267" s="404">
        <f t="shared" si="147"/>
        <v>73783.150000000009</v>
      </c>
      <c r="F267" s="403">
        <f t="shared" si="147"/>
        <v>8293.85</v>
      </c>
      <c r="G267" s="402">
        <f t="shared" si="147"/>
        <v>156835.15</v>
      </c>
      <c r="H267" s="401">
        <f t="shared" si="147"/>
        <v>118484.22</v>
      </c>
      <c r="I267" s="400">
        <f t="shared" si="147"/>
        <v>38350.93</v>
      </c>
      <c r="J267" s="402">
        <f t="shared" si="147"/>
        <v>110026.5</v>
      </c>
      <c r="K267" s="401">
        <f t="shared" si="147"/>
        <v>90805.2</v>
      </c>
      <c r="L267" s="400">
        <f t="shared" si="147"/>
        <v>19221.3</v>
      </c>
      <c r="M267" s="739"/>
      <c r="N267" s="338"/>
      <c r="O267" s="338"/>
      <c r="P267" s="338"/>
      <c r="Q267" s="345" t="str">
        <f t="shared" ref="Q267:Q287" si="148">+C267</f>
        <v>1996</v>
      </c>
      <c r="R267" s="342">
        <f t="shared" ref="R267:R287" si="149">+D267</f>
        <v>82077</v>
      </c>
      <c r="S267" s="341">
        <f t="shared" ref="S267:S287" si="150">+G267</f>
        <v>156835.15</v>
      </c>
      <c r="T267" s="341">
        <f t="shared" ref="T267:T287" si="151">+J267</f>
        <v>110026.5</v>
      </c>
      <c r="U267" s="391"/>
      <c r="V267" s="391"/>
      <c r="W267" s="391"/>
      <c r="X267" s="391"/>
      <c r="Y267" s="391"/>
      <c r="Z267" s="391"/>
      <c r="AA267" s="391"/>
      <c r="AB267" s="391"/>
      <c r="AC267" s="391"/>
      <c r="AD267" s="391"/>
      <c r="AE267" s="391"/>
    </row>
    <row r="268" spans="1:31" ht="15.75" hidden="1" customHeight="1" outlineLevel="1" x14ac:dyDescent="0.2">
      <c r="A268" s="897"/>
      <c r="B268" s="615" t="s">
        <v>432</v>
      </c>
      <c r="C268" s="399" t="s">
        <v>435</v>
      </c>
      <c r="D268" s="398">
        <f t="shared" ref="D268:L268" si="152">SUM(D3+D25+D47+D69+D91+D113+D135+D157+D179)</f>
        <v>180801</v>
      </c>
      <c r="E268" s="397">
        <f t="shared" si="152"/>
        <v>149507</v>
      </c>
      <c r="F268" s="396">
        <f t="shared" si="152"/>
        <v>31294</v>
      </c>
      <c r="G268" s="395">
        <f t="shared" si="152"/>
        <v>219417.99</v>
      </c>
      <c r="H268" s="394">
        <f t="shared" si="152"/>
        <v>186365.28</v>
      </c>
      <c r="I268" s="393">
        <f t="shared" si="152"/>
        <v>33052.71</v>
      </c>
      <c r="J268" s="395">
        <f t="shared" si="152"/>
        <v>164201.05000000002</v>
      </c>
      <c r="K268" s="394">
        <f t="shared" si="152"/>
        <v>139224.83000000002</v>
      </c>
      <c r="L268" s="393">
        <f t="shared" si="152"/>
        <v>24976.219999999998</v>
      </c>
      <c r="M268" s="739"/>
      <c r="N268" s="338"/>
      <c r="O268" s="338"/>
      <c r="P268" s="338"/>
      <c r="Q268" s="345" t="str">
        <f t="shared" si="148"/>
        <v>1997</v>
      </c>
      <c r="R268" s="342">
        <f t="shared" si="149"/>
        <v>180801</v>
      </c>
      <c r="S268" s="341">
        <f t="shared" si="150"/>
        <v>219417.99</v>
      </c>
      <c r="T268" s="341">
        <f t="shared" si="151"/>
        <v>164201.05000000002</v>
      </c>
      <c r="U268" s="391"/>
      <c r="V268" s="391"/>
      <c r="W268" s="391"/>
      <c r="X268" s="391"/>
      <c r="Y268" s="391"/>
      <c r="Z268" s="391"/>
      <c r="AA268" s="391"/>
      <c r="AB268" s="391"/>
      <c r="AC268" s="391"/>
      <c r="AD268" s="391"/>
      <c r="AE268" s="391"/>
    </row>
    <row r="269" spans="1:31" ht="15.75" hidden="1" customHeight="1" outlineLevel="1" x14ac:dyDescent="0.2">
      <c r="A269" s="897"/>
      <c r="B269" s="615" t="s">
        <v>432</v>
      </c>
      <c r="C269" s="399" t="s">
        <v>436</v>
      </c>
      <c r="D269" s="398">
        <f t="shared" ref="D269:L269" si="153">SUM(D4+D26+D48+D70+D92+D114+D136+D158+D180)</f>
        <v>176965</v>
      </c>
      <c r="E269" s="397">
        <f t="shared" si="153"/>
        <v>153866</v>
      </c>
      <c r="F269" s="396">
        <f t="shared" si="153"/>
        <v>23099</v>
      </c>
      <c r="G269" s="395">
        <f t="shared" si="153"/>
        <v>105947.65</v>
      </c>
      <c r="H269" s="394">
        <f t="shared" si="153"/>
        <v>96430.79</v>
      </c>
      <c r="I269" s="393">
        <f t="shared" si="153"/>
        <v>9516.86</v>
      </c>
      <c r="J269" s="395">
        <f t="shared" si="153"/>
        <v>128410.79000000001</v>
      </c>
      <c r="K269" s="394">
        <f t="shared" si="153"/>
        <v>106349.83</v>
      </c>
      <c r="L269" s="393">
        <f t="shared" si="153"/>
        <v>22060.960000000003</v>
      </c>
      <c r="M269" s="739">
        <f>+K269+L269-'TAB1.0 Accomplshmnt by District'!I245</f>
        <v>941.76999999998952</v>
      </c>
      <c r="N269" s="338"/>
      <c r="O269" s="338"/>
      <c r="P269" s="338"/>
      <c r="Q269" s="345" t="str">
        <f t="shared" si="148"/>
        <v>1998</v>
      </c>
      <c r="R269" s="342">
        <f t="shared" si="149"/>
        <v>176965</v>
      </c>
      <c r="S269" s="341">
        <f t="shared" si="150"/>
        <v>105947.65</v>
      </c>
      <c r="T269" s="341">
        <f t="shared" si="151"/>
        <v>128410.79000000001</v>
      </c>
      <c r="U269" s="391"/>
      <c r="V269" s="391"/>
      <c r="W269" s="391"/>
      <c r="X269" s="391"/>
      <c r="Y269" s="391"/>
      <c r="Z269" s="391"/>
      <c r="AA269" s="391"/>
      <c r="AB269" s="391"/>
      <c r="AC269" s="391"/>
      <c r="AD269" s="391"/>
      <c r="AE269" s="391"/>
    </row>
    <row r="270" spans="1:31" ht="15.75" hidden="1" customHeight="1" outlineLevel="1" x14ac:dyDescent="0.2">
      <c r="A270" s="897"/>
      <c r="B270" s="615" t="s">
        <v>432</v>
      </c>
      <c r="C270" s="389" t="s">
        <v>437</v>
      </c>
      <c r="D270" s="388">
        <f t="shared" ref="D270:L270" si="154">SUM(D5+D27+D49+D71+D93+D115+D137+D159+D181)</f>
        <v>199525</v>
      </c>
      <c r="E270" s="386">
        <f t="shared" si="154"/>
        <v>158999</v>
      </c>
      <c r="F270" s="381">
        <f t="shared" si="154"/>
        <v>40526</v>
      </c>
      <c r="G270" s="383">
        <f t="shared" si="154"/>
        <v>255132.79999999999</v>
      </c>
      <c r="H270" s="384">
        <f t="shared" si="154"/>
        <v>204762.22</v>
      </c>
      <c r="I270" s="392">
        <f t="shared" si="154"/>
        <v>50370.579999999994</v>
      </c>
      <c r="J270" s="383">
        <f t="shared" si="154"/>
        <v>207892.30000000002</v>
      </c>
      <c r="K270" s="384">
        <f t="shared" si="154"/>
        <v>169895.72</v>
      </c>
      <c r="L270" s="392">
        <f t="shared" si="154"/>
        <v>37996.579999999994</v>
      </c>
      <c r="M270" s="739">
        <f>+K270+L270-'TAB1.0 Accomplshmnt by District'!I246</f>
        <v>-202.22000000000116</v>
      </c>
      <c r="N270" s="338"/>
      <c r="O270" s="338"/>
      <c r="P270" s="338"/>
      <c r="Q270" s="345" t="str">
        <f t="shared" si="148"/>
        <v>1999</v>
      </c>
      <c r="R270" s="342">
        <f t="shared" si="149"/>
        <v>199525</v>
      </c>
      <c r="S270" s="341">
        <f t="shared" si="150"/>
        <v>255132.79999999999</v>
      </c>
      <c r="T270" s="341">
        <f t="shared" si="151"/>
        <v>207892.30000000002</v>
      </c>
      <c r="U270" s="391"/>
      <c r="V270" s="391"/>
      <c r="W270" s="391"/>
      <c r="X270" s="391"/>
      <c r="Y270" s="391"/>
      <c r="Z270" s="391"/>
      <c r="AA270" s="391"/>
      <c r="AB270" s="391"/>
      <c r="AC270" s="391"/>
      <c r="AD270" s="391"/>
      <c r="AE270" s="391"/>
    </row>
    <row r="271" spans="1:31" ht="17.399999999999999" hidden="1" customHeight="1" outlineLevel="1" x14ac:dyDescent="0.2">
      <c r="A271" s="897"/>
      <c r="B271" s="615" t="s">
        <v>432</v>
      </c>
      <c r="C271" s="428" t="s">
        <v>283</v>
      </c>
      <c r="D271" s="388">
        <f t="shared" ref="D271:L271" si="155">SUM(D6+D28+D50+D72+D94+D116+D138+D160+D182)</f>
        <v>256164</v>
      </c>
      <c r="E271" s="384">
        <f t="shared" si="155"/>
        <v>218357</v>
      </c>
      <c r="F271" s="392">
        <f t="shared" si="155"/>
        <v>37807</v>
      </c>
      <c r="G271" s="383">
        <f t="shared" si="155"/>
        <v>239614.7</v>
      </c>
      <c r="H271" s="384">
        <f t="shared" si="155"/>
        <v>207271.81</v>
      </c>
      <c r="I271" s="392">
        <f t="shared" si="155"/>
        <v>32342.89</v>
      </c>
      <c r="J271" s="383">
        <f t="shared" si="155"/>
        <v>263879.71000000002</v>
      </c>
      <c r="K271" s="380">
        <f t="shared" si="155"/>
        <v>214165.00000000003</v>
      </c>
      <c r="L271" s="379">
        <f t="shared" si="155"/>
        <v>49714.710000000006</v>
      </c>
      <c r="M271" s="739">
        <f>+K271+L271-'TAB1.0 Accomplshmnt by District'!I247</f>
        <v>-909.46999999997206</v>
      </c>
      <c r="N271" s="338"/>
      <c r="O271" s="338"/>
      <c r="P271" s="338"/>
      <c r="Q271" s="345" t="str">
        <f t="shared" si="148"/>
        <v>2000</v>
      </c>
      <c r="R271" s="342">
        <f t="shared" si="149"/>
        <v>256164</v>
      </c>
      <c r="S271" s="341">
        <f t="shared" si="150"/>
        <v>239614.7</v>
      </c>
      <c r="T271" s="341">
        <f t="shared" si="151"/>
        <v>263879.71000000002</v>
      </c>
      <c r="U271" s="391"/>
      <c r="V271" s="391"/>
      <c r="W271" s="391"/>
      <c r="X271" s="391"/>
      <c r="Y271" s="391"/>
      <c r="Z271" s="391"/>
      <c r="AA271" s="391"/>
      <c r="AB271" s="391"/>
      <c r="AC271" s="391"/>
      <c r="AD271" s="391"/>
      <c r="AE271" s="391"/>
    </row>
    <row r="272" spans="1:31" ht="17.399999999999999" hidden="1" customHeight="1" outlineLevel="1" x14ac:dyDescent="0.2">
      <c r="A272" s="897"/>
      <c r="B272" s="615" t="s">
        <v>432</v>
      </c>
      <c r="C272" s="389" t="s">
        <v>284</v>
      </c>
      <c r="D272" s="388">
        <f t="shared" ref="D272:L272" si="156">SUM(D7+D29+D51+D73+D95+D117+D139+D161+D183)</f>
        <v>226764</v>
      </c>
      <c r="E272" s="384">
        <f t="shared" si="156"/>
        <v>192871.55</v>
      </c>
      <c r="F272" s="392">
        <f t="shared" si="156"/>
        <v>33892.449999999997</v>
      </c>
      <c r="G272" s="383">
        <f t="shared" si="156"/>
        <v>209334</v>
      </c>
      <c r="H272" s="384">
        <f t="shared" si="156"/>
        <v>177500.88</v>
      </c>
      <c r="I272" s="392">
        <f t="shared" si="156"/>
        <v>31833.119999999999</v>
      </c>
      <c r="J272" s="383">
        <f t="shared" si="156"/>
        <v>228695.24</v>
      </c>
      <c r="K272" s="380">
        <f t="shared" si="156"/>
        <v>193068.62000000002</v>
      </c>
      <c r="L272" s="379">
        <f t="shared" si="156"/>
        <v>35626.620000000003</v>
      </c>
      <c r="M272" s="739">
        <f>+K272+L272-'TAB1.0 Accomplshmnt by District'!I248</f>
        <v>-1.9999999989522621E-2</v>
      </c>
      <c r="N272" s="338"/>
      <c r="O272" s="338"/>
      <c r="P272" s="338"/>
      <c r="Q272" s="343" t="str">
        <f t="shared" si="148"/>
        <v>2001</v>
      </c>
      <c r="R272" s="342">
        <f t="shared" si="149"/>
        <v>226764</v>
      </c>
      <c r="S272" s="341">
        <f t="shared" si="150"/>
        <v>209334</v>
      </c>
      <c r="T272" s="341">
        <f t="shared" si="151"/>
        <v>228695.24</v>
      </c>
      <c r="U272" s="391"/>
      <c r="V272" s="391"/>
      <c r="W272" s="391"/>
      <c r="X272" s="391"/>
      <c r="Y272" s="391"/>
      <c r="Z272" s="391"/>
      <c r="AA272" s="391"/>
      <c r="AB272" s="391"/>
      <c r="AC272" s="391"/>
      <c r="AD272" s="391"/>
      <c r="AE272" s="391"/>
    </row>
    <row r="273" spans="1:31" ht="17.399999999999999" hidden="1" customHeight="1" outlineLevel="1" x14ac:dyDescent="0.2">
      <c r="A273" s="897"/>
      <c r="B273" s="615" t="s">
        <v>432</v>
      </c>
      <c r="C273" s="389" t="s">
        <v>285</v>
      </c>
      <c r="D273" s="388">
        <f t="shared" ref="D273:L273" si="157">SUM(D8+D30+D52+D74+D96+D118+D140+D162+D184)</f>
        <v>205628</v>
      </c>
      <c r="E273" s="384">
        <f t="shared" si="157"/>
        <v>180442</v>
      </c>
      <c r="F273" s="392">
        <f t="shared" si="157"/>
        <v>25186</v>
      </c>
      <c r="G273" s="383">
        <f t="shared" si="157"/>
        <v>226462</v>
      </c>
      <c r="H273" s="384">
        <f t="shared" si="157"/>
        <v>205880.49</v>
      </c>
      <c r="I273" s="392">
        <f t="shared" si="157"/>
        <v>20581.510000000002</v>
      </c>
      <c r="J273" s="383">
        <f t="shared" si="157"/>
        <v>257883.21999999997</v>
      </c>
      <c r="K273" s="380">
        <f t="shared" si="157"/>
        <v>228326.46</v>
      </c>
      <c r="L273" s="379">
        <f t="shared" si="157"/>
        <v>29556.76</v>
      </c>
      <c r="M273" s="739">
        <f>+K273+L273-'TAB1.0 Accomplshmnt by District'!I249</f>
        <v>-0.17999999996391125</v>
      </c>
      <c r="N273" s="338"/>
      <c r="O273" s="338"/>
      <c r="P273" s="338"/>
      <c r="Q273" s="343" t="str">
        <f t="shared" si="148"/>
        <v>2002</v>
      </c>
      <c r="R273" s="342">
        <f t="shared" si="149"/>
        <v>205628</v>
      </c>
      <c r="S273" s="341">
        <f t="shared" si="150"/>
        <v>226462</v>
      </c>
      <c r="T273" s="341">
        <f t="shared" si="151"/>
        <v>257883.21999999997</v>
      </c>
      <c r="U273" s="391"/>
      <c r="V273" s="391"/>
      <c r="W273" s="391"/>
      <c r="X273" s="391"/>
      <c r="Y273" s="391"/>
      <c r="Z273" s="391"/>
      <c r="AA273" s="391"/>
      <c r="AB273" s="391"/>
      <c r="AC273" s="391"/>
      <c r="AD273" s="391"/>
      <c r="AE273" s="391"/>
    </row>
    <row r="274" spans="1:31" ht="17.399999999999999" hidden="1" customHeight="1" outlineLevel="1" x14ac:dyDescent="0.2">
      <c r="A274" s="897"/>
      <c r="B274" s="615" t="s">
        <v>432</v>
      </c>
      <c r="C274" s="389" t="s">
        <v>286</v>
      </c>
      <c r="D274" s="388">
        <f t="shared" ref="D274:L274" si="158">SUM(D9+D31+D53+D75+D97+D119+D141+D163+D185)</f>
        <v>232156</v>
      </c>
      <c r="E274" s="384">
        <f t="shared" si="158"/>
        <v>202024.83</v>
      </c>
      <c r="F274" s="392">
        <f t="shared" si="158"/>
        <v>30131.17</v>
      </c>
      <c r="G274" s="383">
        <f t="shared" si="158"/>
        <v>251199</v>
      </c>
      <c r="H274" s="384">
        <f t="shared" si="158"/>
        <v>228375.28</v>
      </c>
      <c r="I274" s="392">
        <f t="shared" si="158"/>
        <v>22823.72</v>
      </c>
      <c r="J274" s="383">
        <f t="shared" si="158"/>
        <v>277822.17</v>
      </c>
      <c r="K274" s="380">
        <f t="shared" si="158"/>
        <v>253532.02</v>
      </c>
      <c r="L274" s="379">
        <f t="shared" si="158"/>
        <v>24290.15</v>
      </c>
      <c r="M274" s="739">
        <f>+K274+L274-'TAB1.0 Accomplshmnt by District'!I250</f>
        <v>-3.0000000027939677E-2</v>
      </c>
      <c r="N274" s="338"/>
      <c r="O274" s="338"/>
      <c r="P274" s="338"/>
      <c r="Q274" s="343" t="str">
        <f t="shared" si="148"/>
        <v>2003</v>
      </c>
      <c r="R274" s="342">
        <f t="shared" si="149"/>
        <v>232156</v>
      </c>
      <c r="S274" s="341">
        <f t="shared" si="150"/>
        <v>251199</v>
      </c>
      <c r="T274" s="341">
        <f t="shared" si="151"/>
        <v>277822.17</v>
      </c>
      <c r="U274" s="391"/>
      <c r="V274" s="391"/>
      <c r="W274" s="391"/>
      <c r="X274" s="391"/>
      <c r="Y274" s="391"/>
      <c r="Z274" s="391"/>
      <c r="AA274" s="391"/>
      <c r="AB274" s="391"/>
      <c r="AC274" s="391"/>
      <c r="AD274" s="391"/>
      <c r="AE274" s="391"/>
    </row>
    <row r="275" spans="1:31" ht="17.399999999999999" hidden="1" customHeight="1" outlineLevel="1" x14ac:dyDescent="0.2">
      <c r="A275" s="897"/>
      <c r="B275" s="615" t="s">
        <v>432</v>
      </c>
      <c r="C275" s="389" t="s">
        <v>287</v>
      </c>
      <c r="D275" s="388">
        <f t="shared" ref="D275:L275" si="159">SUM(D10+D32+D54+D76+D98+D120+D142+D164+D186)</f>
        <v>294567</v>
      </c>
      <c r="E275" s="384">
        <f t="shared" si="159"/>
        <v>265686</v>
      </c>
      <c r="F275" s="392">
        <f t="shared" si="159"/>
        <v>28881</v>
      </c>
      <c r="G275" s="383">
        <f t="shared" si="159"/>
        <v>321003</v>
      </c>
      <c r="H275" s="384">
        <f t="shared" si="159"/>
        <v>284944.50999999995</v>
      </c>
      <c r="I275" s="392">
        <f t="shared" si="159"/>
        <v>36058.49</v>
      </c>
      <c r="J275" s="383">
        <f t="shared" si="159"/>
        <v>271809.18999999994</v>
      </c>
      <c r="K275" s="380">
        <f t="shared" si="159"/>
        <v>239386.06</v>
      </c>
      <c r="L275" s="379">
        <f t="shared" si="159"/>
        <v>32423.13</v>
      </c>
      <c r="M275" s="739">
        <f>+K275+L275-'TAB1.0 Accomplshmnt by District'!I251</f>
        <v>0.20000000001164153</v>
      </c>
      <c r="N275" s="338"/>
      <c r="O275" s="338"/>
      <c r="P275" s="338"/>
      <c r="Q275" s="343" t="str">
        <f t="shared" si="148"/>
        <v>2004</v>
      </c>
      <c r="R275" s="342">
        <f t="shared" si="149"/>
        <v>294567</v>
      </c>
      <c r="S275" s="341">
        <f t="shared" si="150"/>
        <v>321003</v>
      </c>
      <c r="T275" s="341">
        <f t="shared" si="151"/>
        <v>271809.18999999994</v>
      </c>
      <c r="U275" s="391"/>
      <c r="V275" s="391"/>
      <c r="W275" s="391"/>
      <c r="X275" s="391"/>
      <c r="Y275" s="391"/>
      <c r="Z275" s="391"/>
      <c r="AA275" s="391"/>
      <c r="AB275" s="391"/>
      <c r="AC275" s="391"/>
      <c r="AD275" s="391"/>
      <c r="AE275" s="391"/>
    </row>
    <row r="276" spans="1:31" ht="17.399999999999999" hidden="1" customHeight="1" outlineLevel="1" x14ac:dyDescent="0.2">
      <c r="A276" s="897"/>
      <c r="B276" s="615" t="s">
        <v>432</v>
      </c>
      <c r="C276" s="389" t="s">
        <v>288</v>
      </c>
      <c r="D276" s="388">
        <f t="shared" ref="D276:L276" si="160">SUM(D11+D33+D55+D77+D99+D121+D143+D165+D187)</f>
        <v>262520</v>
      </c>
      <c r="E276" s="384">
        <f t="shared" si="160"/>
        <v>239438.32</v>
      </c>
      <c r="F276" s="392">
        <f t="shared" si="160"/>
        <v>23081.68</v>
      </c>
      <c r="G276" s="383">
        <f t="shared" si="160"/>
        <v>246682</v>
      </c>
      <c r="H276" s="384">
        <f t="shared" si="160"/>
        <v>215620.56999999998</v>
      </c>
      <c r="I276" s="392">
        <f t="shared" si="160"/>
        <v>31061.43</v>
      </c>
      <c r="J276" s="383">
        <f t="shared" si="160"/>
        <v>323761.36</v>
      </c>
      <c r="K276" s="380">
        <f t="shared" si="160"/>
        <v>281654.98</v>
      </c>
      <c r="L276" s="379">
        <f t="shared" si="160"/>
        <v>42106.38</v>
      </c>
      <c r="M276" s="739">
        <f>+K276+L276-'TAB1.0 Accomplshmnt by District'!I252</f>
        <v>50</v>
      </c>
      <c r="N276" s="338"/>
      <c r="O276" s="338"/>
      <c r="P276" s="338"/>
      <c r="Q276" s="343" t="str">
        <f t="shared" si="148"/>
        <v>2005</v>
      </c>
      <c r="R276" s="342">
        <f t="shared" si="149"/>
        <v>262520</v>
      </c>
      <c r="S276" s="341">
        <f t="shared" si="150"/>
        <v>246682</v>
      </c>
      <c r="T276" s="341">
        <f t="shared" si="151"/>
        <v>323761.36</v>
      </c>
      <c r="U276" s="391"/>
      <c r="V276" s="391"/>
      <c r="W276" s="391"/>
      <c r="X276" s="391"/>
      <c r="Y276" s="391"/>
      <c r="Z276" s="391"/>
      <c r="AA276" s="391"/>
      <c r="AB276" s="391"/>
      <c r="AC276" s="391"/>
      <c r="AD276" s="391"/>
      <c r="AE276" s="391"/>
    </row>
    <row r="277" spans="1:31" ht="17.399999999999999" customHeight="1" collapsed="1" x14ac:dyDescent="0.2">
      <c r="A277" s="897"/>
      <c r="B277" s="615" t="s">
        <v>432</v>
      </c>
      <c r="C277" s="389" t="s">
        <v>289</v>
      </c>
      <c r="D277" s="824">
        <f t="shared" ref="D277:L277" si="161">SUM(D12+D34+D56+D78+D100+D122+D144+D166+D188)</f>
        <v>322355</v>
      </c>
      <c r="E277" s="384">
        <f t="shared" si="161"/>
        <v>289795.7</v>
      </c>
      <c r="F277" s="384">
        <f t="shared" si="161"/>
        <v>32559.3</v>
      </c>
      <c r="G277" s="827">
        <f t="shared" si="161"/>
        <v>311785.92</v>
      </c>
      <c r="H277" s="386">
        <f t="shared" si="161"/>
        <v>277048.49</v>
      </c>
      <c r="I277" s="381">
        <f t="shared" si="161"/>
        <v>34737.43</v>
      </c>
      <c r="J277" s="827">
        <f t="shared" si="161"/>
        <v>294741.19999999995</v>
      </c>
      <c r="K277" s="380">
        <f t="shared" si="161"/>
        <v>276908.34000000003</v>
      </c>
      <c r="L277" s="379">
        <f t="shared" si="161"/>
        <v>17832.86</v>
      </c>
      <c r="M277" s="739">
        <f>+K277+L277-'TAB1.0 Accomplshmnt by District'!I253</f>
        <v>0</v>
      </c>
      <c r="N277" s="338"/>
      <c r="O277" s="338"/>
      <c r="P277" s="338"/>
      <c r="Q277" s="343" t="str">
        <f t="shared" si="148"/>
        <v>2006</v>
      </c>
      <c r="R277" s="342">
        <f t="shared" si="149"/>
        <v>322355</v>
      </c>
      <c r="S277" s="341">
        <f t="shared" si="150"/>
        <v>311785.92</v>
      </c>
      <c r="T277" s="341">
        <f t="shared" si="151"/>
        <v>294741.19999999995</v>
      </c>
      <c r="U277" s="391"/>
      <c r="V277" s="391"/>
      <c r="W277" s="391"/>
      <c r="X277" s="391"/>
      <c r="Y277" s="391"/>
      <c r="Z277" s="391"/>
      <c r="AA277" s="391"/>
      <c r="AB277" s="391"/>
      <c r="AC277" s="391"/>
      <c r="AD277" s="391"/>
      <c r="AE277" s="391"/>
    </row>
    <row r="278" spans="1:31" ht="17.399999999999999" customHeight="1" x14ac:dyDescent="0.2">
      <c r="A278" s="897"/>
      <c r="B278" s="615" t="s">
        <v>432</v>
      </c>
      <c r="C278" s="389" t="s">
        <v>290</v>
      </c>
      <c r="D278" s="824">
        <f t="shared" ref="D278:L278" si="162">SUM(D13+D35+D57+D79+D101+D123+D145+D167+D189)</f>
        <v>236555</v>
      </c>
      <c r="E278" s="384">
        <f t="shared" si="162"/>
        <v>214277.36</v>
      </c>
      <c r="F278" s="384">
        <f t="shared" si="162"/>
        <v>22277.64</v>
      </c>
      <c r="G278" s="827">
        <f t="shared" si="162"/>
        <v>266538</v>
      </c>
      <c r="H278" s="386">
        <f t="shared" si="162"/>
        <v>249511</v>
      </c>
      <c r="I278" s="381">
        <f t="shared" si="162"/>
        <v>17027</v>
      </c>
      <c r="J278" s="827">
        <f t="shared" si="162"/>
        <v>271481.43000000005</v>
      </c>
      <c r="K278" s="380">
        <f t="shared" si="162"/>
        <v>244397.83</v>
      </c>
      <c r="L278" s="379">
        <f t="shared" si="162"/>
        <v>27083.600000000002</v>
      </c>
      <c r="M278" s="739">
        <f>+K278+L278-'TAB1.0 Accomplshmnt by District'!I254</f>
        <v>0</v>
      </c>
      <c r="N278" s="338"/>
      <c r="O278" s="338"/>
      <c r="P278" s="338"/>
      <c r="Q278" s="343" t="str">
        <f t="shared" si="148"/>
        <v>2007</v>
      </c>
      <c r="R278" s="342">
        <f t="shared" si="149"/>
        <v>236555</v>
      </c>
      <c r="S278" s="341">
        <f t="shared" si="150"/>
        <v>266538</v>
      </c>
      <c r="T278" s="341">
        <f t="shared" si="151"/>
        <v>271481.43000000005</v>
      </c>
    </row>
    <row r="279" spans="1:31" ht="17.399999999999999" customHeight="1" x14ac:dyDescent="0.2">
      <c r="A279" s="897"/>
      <c r="B279" s="615" t="s">
        <v>432</v>
      </c>
      <c r="C279" s="389" t="s">
        <v>291</v>
      </c>
      <c r="D279" s="824">
        <f t="shared" ref="D279:L279" si="163">SUM(D14+D36+D58+D80+D102+D124+D146+D168+D190)</f>
        <v>230900</v>
      </c>
      <c r="E279" s="384">
        <f t="shared" si="163"/>
        <v>206838</v>
      </c>
      <c r="F279" s="384">
        <f t="shared" si="163"/>
        <v>24062</v>
      </c>
      <c r="G279" s="827">
        <f t="shared" si="163"/>
        <v>251994</v>
      </c>
      <c r="H279" s="386">
        <f t="shared" si="163"/>
        <v>220020</v>
      </c>
      <c r="I279" s="381">
        <f t="shared" si="163"/>
        <v>31974</v>
      </c>
      <c r="J279" s="827">
        <f t="shared" si="163"/>
        <v>259552</v>
      </c>
      <c r="K279" s="380">
        <f t="shared" si="163"/>
        <v>236579</v>
      </c>
      <c r="L279" s="379">
        <f t="shared" si="163"/>
        <v>22973</v>
      </c>
      <c r="M279" s="739">
        <f>+K279+L279-'TAB1.0 Accomplshmnt by District'!I255</f>
        <v>-0.2599999999802094</v>
      </c>
      <c r="N279" s="338"/>
      <c r="O279" s="338"/>
      <c r="P279" s="338"/>
      <c r="Q279" s="343" t="str">
        <f t="shared" si="148"/>
        <v>2008</v>
      </c>
      <c r="R279" s="342">
        <f t="shared" si="149"/>
        <v>230900</v>
      </c>
      <c r="S279" s="341">
        <f t="shared" si="150"/>
        <v>251994</v>
      </c>
      <c r="T279" s="341">
        <f t="shared" si="151"/>
        <v>259552</v>
      </c>
    </row>
    <row r="280" spans="1:31" ht="17.399999999999999" customHeight="1" x14ac:dyDescent="0.2">
      <c r="A280" s="897"/>
      <c r="B280" s="615" t="s">
        <v>432</v>
      </c>
      <c r="C280" s="389" t="s">
        <v>292</v>
      </c>
      <c r="D280" s="824">
        <f t="shared" ref="D280:L280" si="164">SUM(D15+D37+D59+D81+D103+D125+D147+D169+D191)</f>
        <v>249039.75</v>
      </c>
      <c r="E280" s="384">
        <f t="shared" si="164"/>
        <v>212238.75</v>
      </c>
      <c r="F280" s="384">
        <f t="shared" si="164"/>
        <v>36801</v>
      </c>
      <c r="G280" s="827">
        <f t="shared" si="164"/>
        <v>251409.0925</v>
      </c>
      <c r="H280" s="386">
        <f t="shared" si="164"/>
        <v>210322.45250000001</v>
      </c>
      <c r="I280" s="381">
        <f t="shared" si="164"/>
        <v>41086.639999999999</v>
      </c>
      <c r="J280" s="827">
        <f t="shared" si="164"/>
        <v>266201.35000000003</v>
      </c>
      <c r="K280" s="380">
        <f t="shared" si="164"/>
        <v>236913.74000000002</v>
      </c>
      <c r="L280" s="379">
        <f t="shared" si="164"/>
        <v>29287.61</v>
      </c>
      <c r="M280" s="739">
        <f>+K280+L280-'TAB1.0 Accomplshmnt by District'!I256</f>
        <v>0</v>
      </c>
      <c r="N280" s="338"/>
      <c r="O280" s="338"/>
      <c r="P280" s="338"/>
      <c r="Q280" s="343" t="str">
        <f t="shared" si="148"/>
        <v>2009</v>
      </c>
      <c r="R280" s="342">
        <f t="shared" si="149"/>
        <v>249039.75</v>
      </c>
      <c r="S280" s="341">
        <f t="shared" si="150"/>
        <v>251409.0925</v>
      </c>
      <c r="T280" s="341">
        <f t="shared" si="151"/>
        <v>266201.35000000003</v>
      </c>
    </row>
    <row r="281" spans="1:31" ht="17.399999999999999" customHeight="1" x14ac:dyDescent="0.2">
      <c r="A281" s="897"/>
      <c r="B281" s="615" t="s">
        <v>432</v>
      </c>
      <c r="C281" s="389" t="s">
        <v>293</v>
      </c>
      <c r="D281" s="824">
        <f t="shared" ref="D281:L281" si="165">SUM(D16+D38+D60+D82+D104+D126+D148+D170+D192)</f>
        <v>226621</v>
      </c>
      <c r="E281" s="384">
        <f t="shared" si="165"/>
        <v>194961.1</v>
      </c>
      <c r="F281" s="384">
        <f t="shared" si="165"/>
        <v>31659.9</v>
      </c>
      <c r="G281" s="827">
        <f t="shared" si="165"/>
        <v>233250</v>
      </c>
      <c r="H281" s="386">
        <f t="shared" si="165"/>
        <v>204932.31999999998</v>
      </c>
      <c r="I281" s="381">
        <f t="shared" si="165"/>
        <v>28317.679999999997</v>
      </c>
      <c r="J281" s="827">
        <f t="shared" si="165"/>
        <v>292953.74</v>
      </c>
      <c r="K281" s="380">
        <f t="shared" si="165"/>
        <v>268141.68</v>
      </c>
      <c r="L281" s="379">
        <f t="shared" si="165"/>
        <v>24812.059999999998</v>
      </c>
      <c r="M281" s="739">
        <f>+K281+L281-'TAB1.0 Accomplshmnt by District'!I257</f>
        <v>-7.0000000006984919E-2</v>
      </c>
      <c r="N281" s="338"/>
      <c r="O281" s="338"/>
      <c r="P281" s="338"/>
      <c r="Q281" s="343" t="str">
        <f t="shared" si="148"/>
        <v>2010</v>
      </c>
      <c r="R281" s="342">
        <f t="shared" si="149"/>
        <v>226621</v>
      </c>
      <c r="S281" s="341">
        <f t="shared" si="150"/>
        <v>233250</v>
      </c>
      <c r="T281" s="341">
        <f t="shared" si="151"/>
        <v>292953.74</v>
      </c>
    </row>
    <row r="282" spans="1:31" ht="17.399999999999999" customHeight="1" x14ac:dyDescent="0.2">
      <c r="A282" s="897"/>
      <c r="B282" s="615" t="s">
        <v>432</v>
      </c>
      <c r="C282" s="427" t="s">
        <v>294</v>
      </c>
      <c r="D282" s="834">
        <f t="shared" ref="D282:L282" si="166">SUM(D17+D39+D61+D83+D105+D127+D149+D171+D193)</f>
        <v>235968.5</v>
      </c>
      <c r="E282" s="387">
        <f t="shared" si="166"/>
        <v>209239</v>
      </c>
      <c r="F282" s="387">
        <f t="shared" si="166"/>
        <v>26729.5</v>
      </c>
      <c r="G282" s="827">
        <f t="shared" si="166"/>
        <v>231452</v>
      </c>
      <c r="H282" s="382">
        <f t="shared" si="166"/>
        <v>210565</v>
      </c>
      <c r="I282" s="381">
        <f t="shared" si="166"/>
        <v>20887</v>
      </c>
      <c r="J282" s="835">
        <f t="shared" si="166"/>
        <v>271677</v>
      </c>
      <c r="K282" s="380">
        <f t="shared" si="166"/>
        <v>239561</v>
      </c>
      <c r="L282" s="390">
        <f t="shared" si="166"/>
        <v>32116</v>
      </c>
      <c r="M282" s="739">
        <f>+K282+L282-'TAB1.0 Accomplshmnt by District'!I258</f>
        <v>1.5899999999674037</v>
      </c>
      <c r="N282" s="338"/>
      <c r="O282" s="338"/>
      <c r="P282" s="338"/>
      <c r="Q282" s="343" t="str">
        <f t="shared" si="148"/>
        <v>2011</v>
      </c>
      <c r="R282" s="342">
        <f t="shared" si="149"/>
        <v>235968.5</v>
      </c>
      <c r="S282" s="341">
        <f t="shared" si="150"/>
        <v>231452</v>
      </c>
      <c r="T282" s="341">
        <f t="shared" si="151"/>
        <v>271677</v>
      </c>
    </row>
    <row r="283" spans="1:31" ht="17.399999999999999" customHeight="1" x14ac:dyDescent="0.2">
      <c r="A283" s="897"/>
      <c r="B283" s="615" t="s">
        <v>432</v>
      </c>
      <c r="C283" s="423" t="s">
        <v>295</v>
      </c>
      <c r="D283" s="824">
        <f t="shared" ref="D283:L283" si="167">SUM(D18+D40+D62+D84+D106+D128+D150+D172+D194)</f>
        <v>215441</v>
      </c>
      <c r="E283" s="384">
        <f t="shared" si="167"/>
        <v>212191</v>
      </c>
      <c r="F283" s="384">
        <f t="shared" si="167"/>
        <v>3250</v>
      </c>
      <c r="G283" s="827">
        <f t="shared" si="167"/>
        <v>214724</v>
      </c>
      <c r="H283" s="386">
        <f t="shared" si="167"/>
        <v>211943.7</v>
      </c>
      <c r="I283" s="381">
        <f t="shared" si="167"/>
        <v>2780.3</v>
      </c>
      <c r="J283" s="827">
        <f t="shared" si="167"/>
        <v>262941.03999999998</v>
      </c>
      <c r="K283" s="380">
        <f t="shared" si="167"/>
        <v>229907.00000000003</v>
      </c>
      <c r="L283" s="379">
        <f t="shared" si="167"/>
        <v>33034.04</v>
      </c>
      <c r="M283" s="739">
        <f>+K283+L283-'TAB1.0 Accomplshmnt by District'!I259</f>
        <v>-0.39999999990686774</v>
      </c>
      <c r="N283" s="338"/>
      <c r="O283" s="338"/>
      <c r="P283" s="338"/>
      <c r="Q283" s="343" t="str">
        <f t="shared" si="148"/>
        <v>2012</v>
      </c>
      <c r="R283" s="342">
        <f t="shared" si="149"/>
        <v>215441</v>
      </c>
      <c r="S283" s="341">
        <f t="shared" si="150"/>
        <v>214724</v>
      </c>
      <c r="T283" s="341">
        <f t="shared" si="151"/>
        <v>262941.03999999998</v>
      </c>
    </row>
    <row r="284" spans="1:31" ht="17.399999999999999" customHeight="1" x14ac:dyDescent="0.2">
      <c r="A284" s="897"/>
      <c r="B284" s="615" t="s">
        <v>432</v>
      </c>
      <c r="C284" s="423" t="s">
        <v>296</v>
      </c>
      <c r="D284" s="824">
        <f>SUM(D19+D41+D65+D85+D107+D129+D151+D173+D195)</f>
        <v>234594</v>
      </c>
      <c r="E284" s="384">
        <f t="shared" ref="E284:L287" si="168">SUM(E19+E41+E63+E85+E107+E129+E151+E173+E195)</f>
        <v>223297</v>
      </c>
      <c r="F284" s="384">
        <f t="shared" si="168"/>
        <v>16597</v>
      </c>
      <c r="G284" s="827">
        <f t="shared" si="168"/>
        <v>241670.98</v>
      </c>
      <c r="H284" s="386">
        <f t="shared" si="168"/>
        <v>225951.87</v>
      </c>
      <c r="I284" s="381">
        <f t="shared" si="168"/>
        <v>15719.11</v>
      </c>
      <c r="J284" s="827">
        <f t="shared" si="168"/>
        <v>240564.00999999998</v>
      </c>
      <c r="K284" s="380">
        <f t="shared" si="168"/>
        <v>229487.77000000002</v>
      </c>
      <c r="L284" s="379">
        <f t="shared" si="168"/>
        <v>11076.239999999998</v>
      </c>
      <c r="M284" s="739">
        <f>+K284+L284-'TAB1.0 Accomplshmnt by District'!I260</f>
        <v>0</v>
      </c>
      <c r="N284" s="338"/>
      <c r="O284" s="338"/>
      <c r="P284" s="338"/>
      <c r="Q284" s="343" t="str">
        <f t="shared" si="148"/>
        <v>2013</v>
      </c>
      <c r="R284" s="342">
        <f t="shared" si="149"/>
        <v>234594</v>
      </c>
      <c r="S284" s="341">
        <f t="shared" si="150"/>
        <v>241670.98</v>
      </c>
      <c r="T284" s="341">
        <f t="shared" si="151"/>
        <v>240564.00999999998</v>
      </c>
    </row>
    <row r="285" spans="1:31" ht="17.399999999999999" customHeight="1" x14ac:dyDescent="0.2">
      <c r="A285" s="897"/>
      <c r="B285" s="615" t="s">
        <v>432</v>
      </c>
      <c r="C285" s="423" t="s">
        <v>297</v>
      </c>
      <c r="D285" s="834">
        <f>SUM(D22+D42+D66+D86+D108+D130+D152+D174+D196)</f>
        <v>236813</v>
      </c>
      <c r="E285" s="387">
        <f t="shared" si="168"/>
        <v>211748.1</v>
      </c>
      <c r="F285" s="387">
        <f t="shared" si="168"/>
        <v>13758.9</v>
      </c>
      <c r="G285" s="827">
        <f t="shared" si="168"/>
        <v>211897</v>
      </c>
      <c r="H285" s="386">
        <f t="shared" si="168"/>
        <v>201812.16899999999</v>
      </c>
      <c r="I285" s="381">
        <f t="shared" si="168"/>
        <v>10084.831</v>
      </c>
      <c r="J285" s="827">
        <f t="shared" si="168"/>
        <v>231821.64999999997</v>
      </c>
      <c r="K285" s="380">
        <f t="shared" si="168"/>
        <v>220858.43</v>
      </c>
      <c r="L285" s="379">
        <f t="shared" si="168"/>
        <v>10963.22</v>
      </c>
      <c r="M285" s="739">
        <f>+K285+L285-'TAB1.0 Accomplshmnt by District'!I261</f>
        <v>-0.47000000000116415</v>
      </c>
      <c r="N285" s="338"/>
      <c r="O285" s="338"/>
      <c r="P285" s="338"/>
      <c r="Q285" s="340" t="str">
        <f t="shared" si="148"/>
        <v>2014</v>
      </c>
      <c r="R285" s="339">
        <f t="shared" si="149"/>
        <v>236813</v>
      </c>
      <c r="S285" s="385">
        <f t="shared" si="150"/>
        <v>211897</v>
      </c>
      <c r="T285" s="385">
        <f t="shared" si="151"/>
        <v>231821.64999999997</v>
      </c>
    </row>
    <row r="286" spans="1:31" ht="17.399999999999999" customHeight="1" x14ac:dyDescent="0.2">
      <c r="A286" s="897"/>
      <c r="B286" s="615" t="s">
        <v>432</v>
      </c>
      <c r="C286" s="423" t="s">
        <v>298</v>
      </c>
      <c r="D286" s="830">
        <f>SUM(E286+F286)</f>
        <v>237992</v>
      </c>
      <c r="E286" s="384">
        <f t="shared" si="168"/>
        <v>220596</v>
      </c>
      <c r="F286" s="384">
        <f t="shared" si="168"/>
        <v>17396</v>
      </c>
      <c r="G286" s="827">
        <f t="shared" si="168"/>
        <v>228615.7</v>
      </c>
      <c r="H286" s="382">
        <f t="shared" si="168"/>
        <v>218529.86599999998</v>
      </c>
      <c r="I286" s="381">
        <f t="shared" si="168"/>
        <v>10085.833999999999</v>
      </c>
      <c r="J286" s="835">
        <f t="shared" si="168"/>
        <v>274174.56</v>
      </c>
      <c r="K286" s="380">
        <f t="shared" si="168"/>
        <v>258901.51</v>
      </c>
      <c r="L286" s="379">
        <f t="shared" si="168"/>
        <v>15273.05</v>
      </c>
      <c r="M286" s="739">
        <f>+K286+L286-'TAB1.0 Accomplshmnt by District'!I262</f>
        <v>2.9999999969732016E-2</v>
      </c>
      <c r="N286" s="338"/>
      <c r="O286" s="338"/>
      <c r="P286" s="338"/>
      <c r="Q286" s="378" t="str">
        <f t="shared" si="148"/>
        <v>2015</v>
      </c>
      <c r="R286" s="377">
        <f t="shared" si="149"/>
        <v>237992</v>
      </c>
      <c r="S286" s="376">
        <f t="shared" si="150"/>
        <v>228615.7</v>
      </c>
      <c r="T286" s="376">
        <f t="shared" si="151"/>
        <v>274174.56</v>
      </c>
      <c r="U286" s="350"/>
      <c r="V286" s="350"/>
      <c r="W286" s="350"/>
      <c r="X286" s="350"/>
      <c r="Y286" s="350"/>
      <c r="Z286" s="350"/>
      <c r="AA286" s="350"/>
      <c r="AB286" s="350"/>
      <c r="AC286" s="350"/>
      <c r="AD286" s="350"/>
      <c r="AE286" s="350"/>
    </row>
    <row r="287" spans="1:31" ht="17.399999999999999" customHeight="1" thickBot="1" x14ac:dyDescent="0.25">
      <c r="A287" s="898"/>
      <c r="B287" s="616" t="s">
        <v>432</v>
      </c>
      <c r="C287" s="617" t="s">
        <v>438</v>
      </c>
      <c r="D287" s="832">
        <f>SUM(E287+F287)</f>
        <v>240491</v>
      </c>
      <c r="E287" s="375">
        <f t="shared" si="168"/>
        <v>225611</v>
      </c>
      <c r="F287" s="375">
        <f t="shared" si="168"/>
        <v>14880</v>
      </c>
      <c r="G287" s="843">
        <f t="shared" si="168"/>
        <v>0</v>
      </c>
      <c r="H287" s="374">
        <f t="shared" si="168"/>
        <v>0</v>
      </c>
      <c r="I287" s="373">
        <f t="shared" si="168"/>
        <v>0</v>
      </c>
      <c r="J287" s="843">
        <f t="shared" si="168"/>
        <v>0</v>
      </c>
      <c r="K287" s="372">
        <f t="shared" si="168"/>
        <v>0</v>
      </c>
      <c r="L287" s="371">
        <f t="shared" si="168"/>
        <v>0</v>
      </c>
      <c r="M287" s="739">
        <f>+K287+L287-'TAB1.0 Accomplshmnt by District'!I263</f>
        <v>0</v>
      </c>
      <c r="N287" s="338"/>
      <c r="O287" s="338"/>
      <c r="P287" s="338"/>
      <c r="Q287" s="337" t="str">
        <f t="shared" si="148"/>
        <v>2016</v>
      </c>
      <c r="R287" s="336">
        <f t="shared" si="149"/>
        <v>240491</v>
      </c>
      <c r="S287" s="335">
        <f t="shared" si="150"/>
        <v>0</v>
      </c>
      <c r="T287" s="335">
        <f t="shared" si="151"/>
        <v>0</v>
      </c>
      <c r="U287" s="350"/>
      <c r="V287" s="350"/>
      <c r="W287" s="350"/>
      <c r="X287" s="350"/>
      <c r="Y287" s="350"/>
      <c r="Z287" s="350"/>
      <c r="AA287" s="350"/>
      <c r="AB287" s="350"/>
      <c r="AC287" s="350"/>
      <c r="AD287" s="350"/>
      <c r="AE287" s="350"/>
    </row>
    <row r="288" spans="1:31" ht="15.6" customHeight="1" x14ac:dyDescent="0.6">
      <c r="A288" s="334"/>
      <c r="B288" s="610"/>
      <c r="C288" s="365"/>
      <c r="D288" s="364"/>
      <c r="E288" s="363"/>
      <c r="F288" s="363"/>
      <c r="G288" s="364"/>
      <c r="H288" s="363"/>
      <c r="I288" s="363"/>
      <c r="J288" s="364"/>
      <c r="K288" s="364"/>
      <c r="L288" s="364"/>
      <c r="M288" s="737"/>
      <c r="N288" s="332"/>
      <c r="O288" s="332"/>
      <c r="P288" s="332"/>
      <c r="Q288" s="332"/>
      <c r="R288" s="332"/>
      <c r="S288" s="332"/>
      <c r="T288" s="332"/>
    </row>
    <row r="289" spans="1:20" ht="51" customHeight="1" x14ac:dyDescent="0.2">
      <c r="A289" s="905" t="s">
        <v>380</v>
      </c>
      <c r="B289" s="899" t="s">
        <v>379</v>
      </c>
      <c r="C289" s="900"/>
      <c r="D289" s="900"/>
      <c r="E289" s="900"/>
      <c r="F289" s="900"/>
      <c r="G289" s="900"/>
      <c r="H289" s="901"/>
      <c r="I289" s="363"/>
      <c r="J289" s="364"/>
      <c r="K289" s="363"/>
      <c r="L289" s="363"/>
      <c r="M289" s="737"/>
      <c r="N289" s="332"/>
      <c r="O289" s="332"/>
      <c r="P289" s="332"/>
      <c r="Q289" s="332"/>
      <c r="R289" s="332"/>
      <c r="S289" s="332"/>
      <c r="T289" s="332"/>
    </row>
    <row r="290" spans="1:20" ht="51.6" customHeight="1" x14ac:dyDescent="0.2">
      <c r="A290" s="906"/>
      <c r="B290" s="902"/>
      <c r="C290" s="903"/>
      <c r="D290" s="903"/>
      <c r="E290" s="903"/>
      <c r="F290" s="903"/>
      <c r="G290" s="903"/>
      <c r="H290" s="904"/>
      <c r="I290" s="363"/>
      <c r="J290" s="364"/>
      <c r="K290" s="363"/>
      <c r="L290" s="363"/>
      <c r="M290" s="737"/>
      <c r="N290" s="332"/>
      <c r="O290" s="332"/>
      <c r="P290" s="332"/>
      <c r="Q290" s="332"/>
      <c r="R290" s="332"/>
      <c r="S290" s="332"/>
      <c r="T290" s="332"/>
    </row>
    <row r="291" spans="1:20" ht="10.35" customHeight="1" x14ac:dyDescent="0.4">
      <c r="A291" s="370"/>
      <c r="B291" s="611"/>
      <c r="C291" s="369"/>
      <c r="D291" s="368"/>
      <c r="E291" s="367"/>
      <c r="F291" s="367"/>
      <c r="G291" s="364"/>
      <c r="H291" s="363"/>
      <c r="I291" s="363"/>
      <c r="J291" s="364"/>
      <c r="K291" s="363"/>
      <c r="L291" s="363"/>
      <c r="M291" s="737"/>
      <c r="N291" s="332"/>
      <c r="O291" s="332"/>
      <c r="P291" s="332"/>
      <c r="Q291" s="332"/>
      <c r="R291" s="332"/>
      <c r="S291" s="332"/>
      <c r="T291" s="332"/>
    </row>
    <row r="292" spans="1:20" ht="38.4" customHeight="1" x14ac:dyDescent="0.2">
      <c r="A292" s="905" t="s">
        <v>378</v>
      </c>
      <c r="B292" s="899" t="s">
        <v>377</v>
      </c>
      <c r="C292" s="900"/>
      <c r="D292" s="900"/>
      <c r="E292" s="900"/>
      <c r="F292" s="900"/>
      <c r="G292" s="900"/>
      <c r="H292" s="901"/>
      <c r="I292" s="363"/>
      <c r="J292" s="364"/>
      <c r="K292" s="363"/>
      <c r="L292" s="363"/>
      <c r="M292" s="737"/>
      <c r="N292" s="332"/>
      <c r="O292" s="332"/>
      <c r="P292" s="332"/>
      <c r="Q292" s="332"/>
      <c r="R292" s="332"/>
      <c r="S292" s="332"/>
      <c r="T292" s="332"/>
    </row>
    <row r="293" spans="1:20" ht="81.599999999999994" customHeight="1" x14ac:dyDescent="0.2">
      <c r="A293" s="906"/>
      <c r="B293" s="902"/>
      <c r="C293" s="903"/>
      <c r="D293" s="903"/>
      <c r="E293" s="903"/>
      <c r="F293" s="903"/>
      <c r="G293" s="903"/>
      <c r="H293" s="904"/>
      <c r="I293" s="363"/>
      <c r="J293" s="364"/>
      <c r="K293" s="363"/>
      <c r="L293" s="363"/>
      <c r="M293" s="737"/>
      <c r="N293" s="332"/>
      <c r="O293" s="332"/>
      <c r="P293" s="332"/>
      <c r="Q293" s="332"/>
      <c r="R293" s="332"/>
      <c r="S293" s="332"/>
      <c r="T293" s="332"/>
    </row>
    <row r="294" spans="1:20" ht="9.6" customHeight="1" x14ac:dyDescent="0.4">
      <c r="A294" s="370"/>
      <c r="B294" s="611"/>
      <c r="C294" s="369"/>
      <c r="D294" s="368"/>
      <c r="E294" s="367"/>
      <c r="F294" s="367"/>
      <c r="G294" s="364"/>
      <c r="H294" s="363"/>
      <c r="I294" s="363"/>
      <c r="J294" s="364"/>
      <c r="K294" s="363"/>
      <c r="L294" s="363"/>
      <c r="M294" s="737"/>
      <c r="N294" s="332"/>
      <c r="O294" s="332"/>
      <c r="P294" s="332"/>
      <c r="Q294" s="332"/>
      <c r="R294" s="332"/>
      <c r="S294" s="332"/>
      <c r="T294" s="332"/>
    </row>
    <row r="295" spans="1:20" ht="46.2" customHeight="1" x14ac:dyDescent="0.2">
      <c r="A295" s="366" t="s">
        <v>376</v>
      </c>
      <c r="B295" s="612"/>
      <c r="C295" s="884" t="s">
        <v>375</v>
      </c>
      <c r="D295" s="885"/>
      <c r="E295" s="885"/>
      <c r="F295" s="885"/>
      <c r="G295" s="885"/>
      <c r="H295" s="886"/>
      <c r="I295" s="363"/>
      <c r="J295" s="364"/>
      <c r="K295" s="363"/>
      <c r="L295" s="363"/>
      <c r="M295" s="737"/>
      <c r="N295" s="332"/>
      <c r="O295" s="332"/>
      <c r="P295" s="332"/>
      <c r="Q295" s="332"/>
      <c r="R295" s="332"/>
      <c r="S295" s="332"/>
      <c r="T295" s="332"/>
    </row>
    <row r="296" spans="1:20" x14ac:dyDescent="0.6">
      <c r="A296" s="334"/>
      <c r="B296" s="610"/>
      <c r="C296" s="365"/>
      <c r="D296" s="364"/>
      <c r="E296" s="363"/>
      <c r="F296" s="363"/>
      <c r="G296" s="364"/>
      <c r="H296" s="363"/>
      <c r="I296" s="363"/>
      <c r="J296" s="364"/>
      <c r="K296" s="363"/>
      <c r="L296" s="363"/>
      <c r="M296" s="737"/>
      <c r="N296" s="332"/>
      <c r="O296" s="332"/>
      <c r="P296" s="332"/>
      <c r="Q296" s="332"/>
      <c r="R296" s="332"/>
      <c r="S296" s="332"/>
      <c r="T296" s="332"/>
    </row>
    <row r="297" spans="1:20" x14ac:dyDescent="0.6">
      <c r="A297" s="334"/>
      <c r="B297" s="610"/>
      <c r="C297" s="365"/>
      <c r="D297" s="364"/>
      <c r="E297" s="363"/>
      <c r="F297" s="363"/>
      <c r="G297" s="364"/>
      <c r="H297" s="363"/>
      <c r="I297" s="363"/>
      <c r="J297" s="364"/>
      <c r="K297" s="363"/>
      <c r="L297" s="363"/>
      <c r="M297" s="737"/>
      <c r="N297" s="332"/>
      <c r="O297" s="332"/>
      <c r="P297" s="332"/>
      <c r="Q297" s="332"/>
      <c r="R297" s="332"/>
      <c r="S297" s="332"/>
      <c r="T297" s="332"/>
    </row>
    <row r="298" spans="1:20" x14ac:dyDescent="0.6">
      <c r="A298" s="334"/>
      <c r="B298" s="610"/>
      <c r="C298" s="365"/>
      <c r="D298" s="364"/>
      <c r="E298" s="363"/>
      <c r="F298" s="363"/>
      <c r="G298" s="364"/>
      <c r="H298" s="363"/>
      <c r="I298" s="363"/>
      <c r="J298" s="364"/>
      <c r="K298" s="363"/>
      <c r="L298" s="363"/>
      <c r="M298" s="737"/>
      <c r="N298" s="332"/>
      <c r="O298" s="332"/>
      <c r="P298" s="332"/>
      <c r="Q298" s="332"/>
      <c r="R298" s="332"/>
      <c r="S298" s="332"/>
      <c r="T298" s="332"/>
    </row>
    <row r="299" spans="1:20" x14ac:dyDescent="0.6">
      <c r="A299" s="334"/>
      <c r="B299" s="610"/>
      <c r="C299" s="365"/>
      <c r="D299" s="364"/>
      <c r="E299" s="363"/>
      <c r="F299" s="363"/>
      <c r="G299" s="364"/>
      <c r="H299" s="363"/>
      <c r="I299" s="363"/>
      <c r="J299" s="364"/>
      <c r="K299" s="363"/>
      <c r="L299" s="363"/>
      <c r="M299" s="737"/>
      <c r="N299" s="332"/>
      <c r="O299" s="332"/>
      <c r="P299" s="332"/>
      <c r="Q299" s="332"/>
      <c r="R299" s="332"/>
      <c r="S299" s="332"/>
      <c r="T299" s="332"/>
    </row>
    <row r="300" spans="1:20" x14ac:dyDescent="0.6">
      <c r="A300" s="334"/>
      <c r="B300" s="610"/>
      <c r="C300" s="365"/>
      <c r="D300" s="364"/>
      <c r="E300" s="363"/>
      <c r="F300" s="363"/>
      <c r="G300" s="364"/>
      <c r="H300" s="363"/>
      <c r="I300" s="363"/>
      <c r="J300" s="364"/>
      <c r="K300" s="363"/>
      <c r="L300" s="363"/>
      <c r="M300" s="737"/>
      <c r="N300" s="332"/>
      <c r="O300" s="332"/>
      <c r="P300" s="332"/>
      <c r="Q300" s="332"/>
      <c r="R300" s="332"/>
      <c r="S300" s="332"/>
      <c r="T300" s="332"/>
    </row>
    <row r="301" spans="1:20" x14ac:dyDescent="0.6">
      <c r="A301" s="334"/>
      <c r="B301" s="610"/>
      <c r="C301" s="365"/>
      <c r="D301" s="364"/>
      <c r="E301" s="363"/>
      <c r="F301" s="363"/>
      <c r="G301" s="364"/>
      <c r="H301" s="363"/>
      <c r="I301" s="363"/>
      <c r="J301" s="364"/>
      <c r="K301" s="363"/>
      <c r="L301" s="363"/>
      <c r="M301" s="737"/>
      <c r="N301" s="332"/>
      <c r="O301" s="332"/>
      <c r="P301" s="332"/>
      <c r="Q301" s="332"/>
      <c r="R301" s="332"/>
      <c r="S301" s="332"/>
      <c r="T301" s="332"/>
    </row>
    <row r="302" spans="1:20" x14ac:dyDescent="0.6">
      <c r="A302" s="334"/>
      <c r="B302" s="610"/>
      <c r="C302" s="365"/>
      <c r="D302" s="364"/>
      <c r="E302" s="363"/>
      <c r="F302" s="363"/>
      <c r="G302" s="364"/>
      <c r="H302" s="363"/>
      <c r="I302" s="363"/>
      <c r="J302" s="364"/>
      <c r="K302" s="363"/>
      <c r="L302" s="363"/>
      <c r="M302" s="737"/>
      <c r="N302" s="332"/>
      <c r="O302" s="332"/>
      <c r="P302" s="332"/>
      <c r="Q302" s="332"/>
      <c r="R302" s="332"/>
      <c r="S302" s="332"/>
      <c r="T302" s="332"/>
    </row>
    <row r="303" spans="1:20" x14ac:dyDescent="0.6">
      <c r="A303" s="334"/>
      <c r="B303" s="610"/>
      <c r="C303" s="365"/>
      <c r="D303" s="364"/>
      <c r="E303" s="363"/>
      <c r="F303" s="363"/>
      <c r="G303" s="364"/>
      <c r="H303" s="363"/>
      <c r="I303" s="363"/>
      <c r="J303" s="364"/>
      <c r="K303" s="363"/>
      <c r="L303" s="363"/>
      <c r="M303" s="737"/>
      <c r="N303" s="332"/>
      <c r="O303" s="332"/>
      <c r="P303" s="332"/>
      <c r="Q303" s="332"/>
      <c r="R303" s="332"/>
      <c r="S303" s="332"/>
      <c r="T303" s="332"/>
    </row>
    <row r="304" spans="1:20" x14ac:dyDescent="0.6">
      <c r="A304" s="334"/>
      <c r="B304" s="610"/>
      <c r="C304" s="365"/>
      <c r="D304" s="364"/>
      <c r="E304" s="363"/>
      <c r="F304" s="363"/>
      <c r="G304" s="364"/>
      <c r="H304" s="363"/>
      <c r="I304" s="363"/>
      <c r="J304" s="364"/>
      <c r="K304" s="363"/>
      <c r="L304" s="363"/>
      <c r="M304" s="737"/>
      <c r="N304" s="332"/>
      <c r="O304" s="332"/>
      <c r="P304" s="332"/>
      <c r="Q304" s="332"/>
      <c r="R304" s="332"/>
      <c r="S304" s="332"/>
      <c r="T304" s="332"/>
    </row>
    <row r="305" spans="1:20" x14ac:dyDescent="0.6">
      <c r="A305" s="334"/>
      <c r="B305" s="610"/>
      <c r="C305" s="365"/>
      <c r="D305" s="364"/>
      <c r="E305" s="363"/>
      <c r="F305" s="363"/>
      <c r="G305" s="364"/>
      <c r="H305" s="363"/>
      <c r="I305" s="363"/>
      <c r="J305" s="364"/>
      <c r="K305" s="363"/>
      <c r="L305" s="363"/>
      <c r="M305" s="737"/>
      <c r="N305" s="332"/>
      <c r="O305" s="332"/>
      <c r="P305" s="332"/>
      <c r="Q305" s="332"/>
      <c r="R305" s="332"/>
      <c r="S305" s="332"/>
      <c r="T305" s="332"/>
    </row>
    <row r="306" spans="1:20" x14ac:dyDescent="0.6">
      <c r="A306" s="334"/>
      <c r="B306" s="610"/>
      <c r="C306" s="365"/>
      <c r="D306" s="364"/>
      <c r="E306" s="363"/>
      <c r="F306" s="363"/>
      <c r="G306" s="364"/>
      <c r="H306" s="363"/>
      <c r="I306" s="363"/>
      <c r="J306" s="364"/>
      <c r="K306" s="363"/>
      <c r="L306" s="363"/>
      <c r="M306" s="737"/>
      <c r="N306" s="332"/>
      <c r="O306" s="332"/>
      <c r="P306" s="332"/>
      <c r="Q306" s="332"/>
      <c r="R306" s="332"/>
      <c r="S306" s="332"/>
      <c r="T306" s="332"/>
    </row>
    <row r="307" spans="1:20" x14ac:dyDescent="0.6">
      <c r="A307" s="334"/>
      <c r="B307" s="610"/>
      <c r="C307" s="365"/>
      <c r="D307" s="364"/>
      <c r="E307" s="363"/>
      <c r="F307" s="363"/>
      <c r="G307" s="364"/>
      <c r="H307" s="363"/>
      <c r="I307" s="363"/>
      <c r="J307" s="364"/>
      <c r="K307" s="363"/>
      <c r="L307" s="363"/>
      <c r="M307" s="737"/>
      <c r="N307" s="332"/>
      <c r="O307" s="332"/>
      <c r="P307" s="332"/>
      <c r="Q307" s="332"/>
      <c r="R307" s="332"/>
      <c r="S307" s="332"/>
      <c r="T307" s="332"/>
    </row>
    <row r="308" spans="1:20" x14ac:dyDescent="0.6">
      <c r="A308" s="334"/>
      <c r="B308" s="610"/>
      <c r="C308" s="365"/>
      <c r="D308" s="364"/>
      <c r="E308" s="363"/>
      <c r="F308" s="363"/>
      <c r="G308" s="364"/>
      <c r="H308" s="363"/>
      <c r="I308" s="363"/>
      <c r="J308" s="364"/>
      <c r="K308" s="363"/>
      <c r="L308" s="363"/>
      <c r="M308" s="737"/>
      <c r="N308" s="332"/>
      <c r="O308" s="332"/>
      <c r="P308" s="332"/>
      <c r="Q308" s="332"/>
      <c r="R308" s="332"/>
      <c r="S308" s="332"/>
      <c r="T308" s="332"/>
    </row>
    <row r="309" spans="1:20" x14ac:dyDescent="0.6">
      <c r="A309" s="334"/>
      <c r="B309" s="610"/>
      <c r="C309" s="365"/>
      <c r="D309" s="364"/>
      <c r="E309" s="363"/>
      <c r="F309" s="363"/>
      <c r="G309" s="364"/>
      <c r="H309" s="363"/>
      <c r="I309" s="363"/>
      <c r="J309" s="364"/>
      <c r="K309" s="363"/>
      <c r="L309" s="363"/>
      <c r="M309" s="737"/>
      <c r="N309" s="332"/>
      <c r="O309" s="332"/>
      <c r="P309" s="332"/>
      <c r="Q309" s="332"/>
      <c r="R309" s="332"/>
      <c r="S309" s="332"/>
      <c r="T309" s="332"/>
    </row>
    <row r="310" spans="1:20" x14ac:dyDescent="0.6">
      <c r="A310" s="334"/>
      <c r="B310" s="610"/>
      <c r="C310" s="365"/>
      <c r="D310" s="364"/>
      <c r="E310" s="363"/>
      <c r="F310" s="363"/>
      <c r="G310" s="364"/>
      <c r="H310" s="363"/>
      <c r="I310" s="363"/>
      <c r="J310" s="364"/>
      <c r="K310" s="363"/>
      <c r="L310" s="363"/>
      <c r="M310" s="737"/>
      <c r="N310" s="332"/>
      <c r="O310" s="332"/>
      <c r="P310" s="332"/>
      <c r="Q310" s="332"/>
      <c r="R310" s="332"/>
      <c r="S310" s="332"/>
      <c r="T310" s="332"/>
    </row>
    <row r="311" spans="1:20" x14ac:dyDescent="0.6">
      <c r="A311" s="334"/>
      <c r="B311" s="610"/>
      <c r="C311" s="365"/>
      <c r="D311" s="364"/>
      <c r="E311" s="363"/>
      <c r="F311" s="363"/>
      <c r="G311" s="364"/>
      <c r="H311" s="363"/>
      <c r="I311" s="363"/>
      <c r="J311" s="364"/>
      <c r="K311" s="363"/>
      <c r="L311" s="363"/>
      <c r="M311" s="737"/>
      <c r="N311" s="332"/>
      <c r="O311" s="332"/>
      <c r="P311" s="332"/>
      <c r="Q311" s="332"/>
      <c r="R311" s="332"/>
      <c r="S311" s="332"/>
      <c r="T311" s="332"/>
    </row>
    <row r="312" spans="1:20" x14ac:dyDescent="0.6">
      <c r="A312" s="334"/>
      <c r="B312" s="610"/>
      <c r="C312" s="365" t="s">
        <v>400</v>
      </c>
      <c r="D312" s="364"/>
      <c r="E312" s="363"/>
      <c r="F312" s="363"/>
      <c r="G312" s="364"/>
      <c r="H312" s="363"/>
      <c r="I312" s="363"/>
      <c r="J312" s="364"/>
      <c r="K312" s="363"/>
      <c r="L312" s="363"/>
      <c r="M312" s="737"/>
      <c r="N312" s="332"/>
      <c r="O312" s="332"/>
      <c r="P312" s="332"/>
      <c r="Q312" s="332"/>
      <c r="R312" s="332"/>
      <c r="S312" s="332"/>
      <c r="T312" s="332"/>
    </row>
    <row r="313" spans="1:20" x14ac:dyDescent="0.6">
      <c r="A313" s="334"/>
      <c r="B313" s="610"/>
      <c r="C313" s="365"/>
      <c r="D313" s="364"/>
      <c r="E313" s="363"/>
      <c r="F313" s="363"/>
      <c r="G313" s="364"/>
      <c r="H313" s="363"/>
      <c r="I313" s="363"/>
      <c r="J313" s="364"/>
      <c r="K313" s="363"/>
      <c r="L313" s="363"/>
      <c r="M313" s="737"/>
      <c r="N313" s="332"/>
      <c r="O313" s="332"/>
      <c r="P313" s="332"/>
      <c r="Q313" s="332"/>
      <c r="R313" s="332"/>
      <c r="S313" s="332"/>
      <c r="T313" s="332"/>
    </row>
    <row r="314" spans="1:20" x14ac:dyDescent="0.6">
      <c r="A314" s="334"/>
      <c r="B314" s="610"/>
      <c r="C314" s="365"/>
      <c r="D314" s="364"/>
      <c r="E314" s="363"/>
      <c r="F314" s="363"/>
      <c r="G314" s="364"/>
      <c r="H314" s="363"/>
      <c r="I314" s="363"/>
      <c r="J314" s="364"/>
      <c r="K314" s="363"/>
      <c r="L314" s="363"/>
      <c r="M314" s="737"/>
      <c r="N314" s="332"/>
      <c r="O314" s="332"/>
      <c r="P314" s="332"/>
      <c r="Q314" s="332"/>
      <c r="R314" s="332"/>
      <c r="S314" s="332"/>
      <c r="T314" s="332"/>
    </row>
    <row r="315" spans="1:20" x14ac:dyDescent="0.6">
      <c r="A315" s="334"/>
      <c r="B315" s="610"/>
      <c r="C315" s="365"/>
      <c r="D315" s="364"/>
      <c r="E315" s="363"/>
      <c r="F315" s="363"/>
      <c r="G315" s="364"/>
      <c r="H315" s="363"/>
      <c r="I315" s="363"/>
      <c r="J315" s="364"/>
      <c r="K315" s="363"/>
      <c r="L315" s="363"/>
      <c r="M315" s="737"/>
      <c r="N315" s="332"/>
      <c r="O315" s="332"/>
      <c r="P315" s="332"/>
      <c r="Q315" s="332"/>
      <c r="R315" s="332"/>
      <c r="S315" s="332"/>
      <c r="T315" s="332"/>
    </row>
    <row r="316" spans="1:20" x14ac:dyDescent="0.6">
      <c r="A316" s="334"/>
      <c r="B316" s="610"/>
      <c r="C316" s="365"/>
      <c r="D316" s="364"/>
      <c r="E316" s="363"/>
      <c r="F316" s="363"/>
      <c r="G316" s="364"/>
      <c r="H316" s="363"/>
      <c r="I316" s="363"/>
      <c r="J316" s="364"/>
      <c r="K316" s="363"/>
      <c r="L316" s="363"/>
      <c r="M316" s="737"/>
      <c r="N316" s="332"/>
      <c r="O316" s="332"/>
      <c r="P316" s="332"/>
      <c r="Q316" s="332"/>
      <c r="R316" s="332"/>
      <c r="S316" s="332"/>
      <c r="T316" s="332"/>
    </row>
    <row r="317" spans="1:20" x14ac:dyDescent="0.6">
      <c r="A317" s="334"/>
      <c r="B317" s="610"/>
      <c r="C317" s="365"/>
      <c r="D317" s="364"/>
      <c r="E317" s="363"/>
      <c r="F317" s="363"/>
      <c r="G317" s="364"/>
      <c r="H317" s="363"/>
      <c r="I317" s="363"/>
      <c r="J317" s="364"/>
      <c r="K317" s="363"/>
      <c r="L317" s="363"/>
      <c r="M317" s="737"/>
      <c r="N317" s="332"/>
      <c r="O317" s="332"/>
      <c r="P317" s="332"/>
      <c r="Q317" s="332"/>
      <c r="R317" s="332"/>
      <c r="S317" s="332"/>
      <c r="T317" s="332"/>
    </row>
    <row r="318" spans="1:20" x14ac:dyDescent="0.6">
      <c r="A318" s="334"/>
      <c r="B318" s="610"/>
      <c r="C318" s="365"/>
      <c r="D318" s="364"/>
      <c r="E318" s="363"/>
      <c r="F318" s="363"/>
      <c r="G318" s="364"/>
      <c r="H318" s="363"/>
      <c r="I318" s="363"/>
      <c r="J318" s="364"/>
      <c r="K318" s="363"/>
      <c r="L318" s="363"/>
      <c r="M318" s="737"/>
      <c r="N318" s="332"/>
      <c r="O318" s="332"/>
      <c r="P318" s="332"/>
      <c r="Q318" s="332"/>
      <c r="R318" s="332"/>
      <c r="S318" s="332"/>
      <c r="T318" s="332"/>
    </row>
    <row r="319" spans="1:20" x14ac:dyDescent="0.6">
      <c r="A319" s="334"/>
      <c r="B319" s="610"/>
      <c r="C319" s="365"/>
      <c r="D319" s="364"/>
      <c r="E319" s="363"/>
      <c r="F319" s="363"/>
      <c r="G319" s="364"/>
      <c r="H319" s="363"/>
      <c r="I319" s="363"/>
      <c r="J319" s="364"/>
      <c r="K319" s="363"/>
      <c r="L319" s="363"/>
      <c r="M319" s="737"/>
      <c r="N319" s="332"/>
      <c r="O319" s="332"/>
      <c r="P319" s="332"/>
      <c r="Q319" s="332"/>
      <c r="R319" s="332"/>
      <c r="S319" s="332"/>
      <c r="T319" s="332"/>
    </row>
    <row r="320" spans="1:20" x14ac:dyDescent="0.6">
      <c r="A320" s="334"/>
      <c r="B320" s="610"/>
      <c r="C320" s="365"/>
      <c r="D320" s="364"/>
      <c r="E320" s="363"/>
      <c r="F320" s="363"/>
      <c r="G320" s="364"/>
      <c r="H320" s="363"/>
      <c r="I320" s="363"/>
      <c r="J320" s="364"/>
      <c r="K320" s="363"/>
      <c r="L320" s="363"/>
      <c r="M320" s="737"/>
      <c r="N320" s="332"/>
      <c r="O320" s="332"/>
      <c r="P320" s="332"/>
      <c r="Q320" s="332"/>
      <c r="R320" s="332"/>
      <c r="S320" s="332"/>
      <c r="T320" s="332"/>
    </row>
    <row r="321" spans="1:20" x14ac:dyDescent="0.6">
      <c r="A321" s="334"/>
      <c r="B321" s="610"/>
      <c r="C321" s="365"/>
      <c r="D321" s="364"/>
      <c r="E321" s="363"/>
      <c r="F321" s="363"/>
      <c r="G321" s="364"/>
      <c r="H321" s="363"/>
      <c r="I321" s="363"/>
      <c r="J321" s="364"/>
      <c r="K321" s="363"/>
      <c r="L321" s="363"/>
      <c r="M321" s="737"/>
      <c r="N321" s="332"/>
      <c r="O321" s="332"/>
      <c r="P321" s="332"/>
      <c r="Q321" s="332"/>
      <c r="R321" s="332"/>
      <c r="S321" s="332"/>
      <c r="T321" s="332"/>
    </row>
    <row r="322" spans="1:20" x14ac:dyDescent="0.6">
      <c r="A322" s="334"/>
      <c r="B322" s="610"/>
      <c r="C322" s="365"/>
      <c r="D322" s="364"/>
      <c r="E322" s="363"/>
      <c r="F322" s="363"/>
      <c r="G322" s="364"/>
      <c r="H322" s="363"/>
      <c r="I322" s="363"/>
      <c r="J322" s="364"/>
      <c r="K322" s="363"/>
      <c r="L322" s="363"/>
      <c r="M322" s="737"/>
      <c r="N322" s="332"/>
      <c r="O322" s="332"/>
      <c r="P322" s="332"/>
      <c r="Q322" s="332"/>
      <c r="R322" s="332"/>
      <c r="S322" s="332"/>
      <c r="T322" s="332"/>
    </row>
    <row r="323" spans="1:20" x14ac:dyDescent="0.6">
      <c r="A323" s="334"/>
      <c r="B323" s="610"/>
      <c r="C323" s="365"/>
      <c r="D323" s="364"/>
      <c r="E323" s="363"/>
      <c r="F323" s="363"/>
      <c r="G323" s="364"/>
      <c r="H323" s="363"/>
      <c r="I323" s="363"/>
      <c r="J323" s="364"/>
      <c r="K323" s="363"/>
      <c r="L323" s="363"/>
      <c r="M323" s="737"/>
      <c r="N323" s="332"/>
      <c r="O323" s="332"/>
      <c r="P323" s="332"/>
      <c r="Q323" s="332"/>
      <c r="R323" s="332"/>
      <c r="S323" s="332"/>
      <c r="T323" s="332"/>
    </row>
    <row r="324" spans="1:20" x14ac:dyDescent="0.6">
      <c r="A324" s="334"/>
      <c r="B324" s="610"/>
      <c r="C324" s="365"/>
      <c r="D324" s="364"/>
      <c r="E324" s="363"/>
      <c r="F324" s="363"/>
      <c r="G324" s="364"/>
      <c r="H324" s="363"/>
      <c r="I324" s="363"/>
      <c r="J324" s="364"/>
      <c r="K324" s="363"/>
      <c r="L324" s="363"/>
      <c r="M324" s="737"/>
      <c r="N324" s="332"/>
      <c r="O324" s="332"/>
      <c r="P324" s="332"/>
      <c r="Q324" s="332"/>
      <c r="R324" s="332"/>
      <c r="S324" s="332"/>
      <c r="T324" s="332"/>
    </row>
    <row r="325" spans="1:20" x14ac:dyDescent="0.6">
      <c r="A325" s="334"/>
      <c r="B325" s="610"/>
      <c r="C325" s="365"/>
      <c r="D325" s="364"/>
      <c r="E325" s="363"/>
      <c r="F325" s="363"/>
      <c r="G325" s="364"/>
      <c r="H325" s="363"/>
      <c r="I325" s="363"/>
      <c r="J325" s="364"/>
      <c r="K325" s="363"/>
      <c r="L325" s="363"/>
      <c r="M325" s="737"/>
      <c r="N325" s="332"/>
      <c r="O325" s="332"/>
      <c r="P325" s="332"/>
      <c r="Q325" s="332"/>
      <c r="R325" s="332"/>
      <c r="S325" s="332"/>
      <c r="T325" s="332"/>
    </row>
    <row r="326" spans="1:20" x14ac:dyDescent="0.6">
      <c r="A326" s="334"/>
      <c r="B326" s="610"/>
      <c r="C326" s="365"/>
      <c r="D326" s="364"/>
      <c r="E326" s="363"/>
      <c r="F326" s="363"/>
      <c r="G326" s="364"/>
      <c r="H326" s="363"/>
      <c r="I326" s="363"/>
      <c r="J326" s="364"/>
      <c r="K326" s="363"/>
      <c r="L326" s="363"/>
      <c r="M326" s="737"/>
      <c r="N326" s="332"/>
      <c r="O326" s="332"/>
      <c r="P326" s="332"/>
      <c r="Q326" s="332"/>
      <c r="R326" s="332"/>
      <c r="S326" s="332"/>
      <c r="T326" s="332"/>
    </row>
    <row r="327" spans="1:20" x14ac:dyDescent="0.6">
      <c r="A327" s="334"/>
      <c r="B327" s="610"/>
      <c r="C327" s="365"/>
      <c r="D327" s="364"/>
      <c r="E327" s="363"/>
      <c r="F327" s="363"/>
      <c r="G327" s="364"/>
      <c r="H327" s="363"/>
      <c r="I327" s="363"/>
      <c r="J327" s="364"/>
      <c r="K327" s="363"/>
      <c r="L327" s="363"/>
      <c r="M327" s="737"/>
      <c r="N327" s="332"/>
      <c r="O327" s="332"/>
      <c r="P327" s="332"/>
      <c r="Q327" s="332"/>
      <c r="R327" s="332"/>
      <c r="S327" s="332"/>
      <c r="T327" s="332"/>
    </row>
    <row r="328" spans="1:20" x14ac:dyDescent="0.6">
      <c r="A328" s="334"/>
      <c r="B328" s="610"/>
      <c r="C328" s="365"/>
      <c r="D328" s="364"/>
      <c r="E328" s="363"/>
      <c r="F328" s="363"/>
      <c r="G328" s="364"/>
      <c r="H328" s="363"/>
      <c r="I328" s="363"/>
      <c r="J328" s="364"/>
      <c r="K328" s="363"/>
      <c r="L328" s="363"/>
      <c r="M328" s="737"/>
      <c r="N328" s="332"/>
      <c r="O328" s="332"/>
      <c r="P328" s="332"/>
      <c r="Q328" s="332"/>
      <c r="R328" s="332"/>
      <c r="S328" s="332"/>
      <c r="T328" s="332"/>
    </row>
    <row r="329" spans="1:20" x14ac:dyDescent="0.6">
      <c r="A329" s="334"/>
      <c r="B329" s="610"/>
      <c r="C329" s="365"/>
      <c r="D329" s="364"/>
      <c r="E329" s="363"/>
      <c r="F329" s="363"/>
      <c r="G329" s="364"/>
      <c r="H329" s="363"/>
      <c r="I329" s="363"/>
      <c r="J329" s="364"/>
      <c r="K329" s="363"/>
      <c r="L329" s="363"/>
      <c r="M329" s="737"/>
      <c r="N329" s="332"/>
      <c r="O329" s="332"/>
      <c r="P329" s="332"/>
      <c r="Q329" s="332"/>
      <c r="R329" s="332"/>
      <c r="S329" s="332"/>
      <c r="T329" s="332"/>
    </row>
    <row r="330" spans="1:20" x14ac:dyDescent="0.6">
      <c r="A330" s="334"/>
      <c r="B330" s="610"/>
      <c r="C330" s="365"/>
      <c r="D330" s="364"/>
      <c r="E330" s="363"/>
      <c r="F330" s="363"/>
      <c r="G330" s="364"/>
      <c r="H330" s="363"/>
      <c r="I330" s="363"/>
      <c r="J330" s="364"/>
      <c r="K330" s="363"/>
      <c r="L330" s="363"/>
      <c r="M330" s="737"/>
      <c r="N330" s="332"/>
      <c r="O330" s="332"/>
      <c r="P330" s="332"/>
      <c r="Q330" s="332"/>
      <c r="R330" s="332"/>
      <c r="S330" s="332"/>
      <c r="T330" s="332"/>
    </row>
    <row r="331" spans="1:20" x14ac:dyDescent="0.6">
      <c r="A331" s="334"/>
      <c r="B331" s="610"/>
      <c r="C331" s="365"/>
      <c r="D331" s="364"/>
      <c r="E331" s="363"/>
      <c r="F331" s="363"/>
      <c r="G331" s="364"/>
      <c r="H331" s="363"/>
      <c r="I331" s="363"/>
      <c r="J331" s="364"/>
      <c r="K331" s="363"/>
      <c r="L331" s="363"/>
      <c r="M331" s="737"/>
      <c r="N331" s="332"/>
      <c r="O331" s="332"/>
      <c r="P331" s="332"/>
      <c r="Q331" s="332"/>
      <c r="R331" s="332"/>
      <c r="S331" s="332"/>
      <c r="T331" s="332"/>
    </row>
    <row r="332" spans="1:20" x14ac:dyDescent="0.6">
      <c r="A332" s="334"/>
      <c r="B332" s="610"/>
      <c r="C332" s="365"/>
      <c r="D332" s="364"/>
      <c r="E332" s="363"/>
      <c r="F332" s="363"/>
      <c r="G332" s="364"/>
      <c r="H332" s="363"/>
      <c r="I332" s="363"/>
      <c r="J332" s="364"/>
      <c r="K332" s="363"/>
      <c r="L332" s="363"/>
      <c r="M332" s="737"/>
      <c r="N332" s="332"/>
      <c r="O332" s="332"/>
      <c r="P332" s="332"/>
      <c r="Q332" s="332"/>
      <c r="R332" s="332"/>
      <c r="S332" s="332"/>
      <c r="T332" s="332"/>
    </row>
    <row r="333" spans="1:20" x14ac:dyDescent="0.6">
      <c r="A333" s="334"/>
      <c r="B333" s="610"/>
      <c r="C333" s="365"/>
      <c r="D333" s="364"/>
      <c r="E333" s="363"/>
      <c r="F333" s="363"/>
      <c r="G333" s="364"/>
      <c r="H333" s="363"/>
      <c r="I333" s="363"/>
      <c r="J333" s="364"/>
      <c r="K333" s="363"/>
      <c r="L333" s="363"/>
      <c r="M333" s="737"/>
      <c r="N333" s="332"/>
      <c r="O333" s="332"/>
      <c r="P333" s="332"/>
      <c r="Q333" s="332"/>
      <c r="R333" s="332"/>
      <c r="S333" s="332"/>
      <c r="T333" s="332"/>
    </row>
    <row r="334" spans="1:20" x14ac:dyDescent="0.6">
      <c r="A334" s="334"/>
      <c r="B334" s="610"/>
      <c r="C334" s="365"/>
      <c r="D334" s="364"/>
      <c r="E334" s="363"/>
      <c r="F334" s="363"/>
      <c r="G334" s="364"/>
      <c r="H334" s="363"/>
      <c r="I334" s="363"/>
      <c r="J334" s="364"/>
      <c r="K334" s="363"/>
      <c r="L334" s="363"/>
      <c r="M334" s="737"/>
      <c r="N334" s="332"/>
      <c r="O334" s="332"/>
      <c r="P334" s="332"/>
      <c r="Q334" s="332"/>
      <c r="R334" s="332"/>
      <c r="S334" s="332"/>
      <c r="T334" s="332"/>
    </row>
    <row r="335" spans="1:20" x14ac:dyDescent="0.6">
      <c r="A335" s="334"/>
      <c r="B335" s="610"/>
      <c r="C335" s="365"/>
      <c r="D335" s="364"/>
      <c r="E335" s="363"/>
      <c r="F335" s="363"/>
      <c r="G335" s="364"/>
      <c r="H335" s="363"/>
      <c r="I335" s="363"/>
      <c r="J335" s="364"/>
      <c r="K335" s="363"/>
      <c r="L335" s="363"/>
      <c r="M335" s="737"/>
      <c r="N335" s="332"/>
      <c r="O335" s="332"/>
      <c r="P335" s="332"/>
      <c r="Q335" s="332"/>
      <c r="R335" s="332"/>
      <c r="S335" s="332"/>
      <c r="T335" s="332"/>
    </row>
    <row r="336" spans="1:20" x14ac:dyDescent="0.6">
      <c r="A336" s="334"/>
      <c r="B336" s="610"/>
      <c r="C336" s="365"/>
      <c r="D336" s="364"/>
      <c r="E336" s="363"/>
      <c r="F336" s="363"/>
      <c r="G336" s="364"/>
      <c r="H336" s="363"/>
      <c r="I336" s="363"/>
      <c r="J336" s="364"/>
      <c r="K336" s="363"/>
      <c r="L336" s="363"/>
      <c r="M336" s="737"/>
      <c r="N336" s="332"/>
      <c r="O336" s="332"/>
      <c r="P336" s="332"/>
      <c r="Q336" s="332"/>
      <c r="R336" s="332"/>
      <c r="S336" s="332"/>
      <c r="T336" s="332"/>
    </row>
    <row r="337" spans="1:20" x14ac:dyDescent="0.6">
      <c r="A337" s="334"/>
      <c r="B337" s="610"/>
      <c r="C337" s="365"/>
      <c r="D337" s="364"/>
      <c r="E337" s="363"/>
      <c r="F337" s="363"/>
      <c r="G337" s="364"/>
      <c r="H337" s="363"/>
      <c r="I337" s="363"/>
      <c r="J337" s="364"/>
      <c r="K337" s="363"/>
      <c r="L337" s="363"/>
      <c r="M337" s="737"/>
      <c r="N337" s="332"/>
      <c r="O337" s="332"/>
      <c r="P337" s="332"/>
      <c r="Q337" s="332"/>
      <c r="R337" s="332"/>
      <c r="S337" s="332"/>
      <c r="T337" s="332"/>
    </row>
    <row r="338" spans="1:20" x14ac:dyDescent="0.6">
      <c r="A338" s="334"/>
      <c r="B338" s="610"/>
      <c r="C338" s="365"/>
      <c r="D338" s="364"/>
      <c r="E338" s="363"/>
      <c r="F338" s="363"/>
      <c r="G338" s="364"/>
      <c r="H338" s="363"/>
      <c r="I338" s="363"/>
      <c r="J338" s="364"/>
      <c r="K338" s="363"/>
      <c r="L338" s="363"/>
      <c r="M338" s="737"/>
      <c r="N338" s="332"/>
      <c r="O338" s="332"/>
      <c r="P338" s="332"/>
      <c r="Q338" s="332"/>
      <c r="R338" s="332"/>
      <c r="S338" s="332"/>
      <c r="T338" s="332"/>
    </row>
    <row r="339" spans="1:20" x14ac:dyDescent="0.6">
      <c r="A339" s="334"/>
      <c r="B339" s="610"/>
      <c r="C339" s="365"/>
      <c r="D339" s="364"/>
      <c r="E339" s="363"/>
      <c r="F339" s="363"/>
      <c r="G339" s="364"/>
      <c r="H339" s="363"/>
      <c r="I339" s="363"/>
      <c r="J339" s="364"/>
      <c r="K339" s="363"/>
      <c r="L339" s="363"/>
      <c r="M339" s="737"/>
      <c r="N339" s="332"/>
      <c r="O339" s="332"/>
      <c r="P339" s="332"/>
      <c r="Q339" s="332"/>
      <c r="R339" s="332"/>
      <c r="S339" s="332"/>
      <c r="T339" s="332"/>
    </row>
    <row r="340" spans="1:20" x14ac:dyDescent="0.6">
      <c r="A340" s="334"/>
      <c r="B340" s="610"/>
      <c r="C340" s="365"/>
      <c r="D340" s="364"/>
      <c r="E340" s="363"/>
      <c r="F340" s="363"/>
      <c r="G340" s="364"/>
      <c r="H340" s="363"/>
      <c r="I340" s="363"/>
      <c r="J340" s="364"/>
      <c r="K340" s="363"/>
      <c r="L340" s="363"/>
      <c r="M340" s="737"/>
      <c r="N340" s="332"/>
      <c r="O340" s="332"/>
      <c r="P340" s="332"/>
      <c r="Q340" s="332"/>
      <c r="R340" s="332"/>
      <c r="S340" s="332"/>
      <c r="T340" s="332"/>
    </row>
    <row r="341" spans="1:20" x14ac:dyDescent="0.6">
      <c r="A341" s="334"/>
      <c r="B341" s="610"/>
      <c r="C341" s="365"/>
      <c r="D341" s="364"/>
      <c r="E341" s="363"/>
      <c r="F341" s="363"/>
      <c r="G341" s="364"/>
      <c r="H341" s="363"/>
      <c r="I341" s="363"/>
      <c r="J341" s="364"/>
      <c r="K341" s="363"/>
      <c r="L341" s="363"/>
      <c r="M341" s="737"/>
      <c r="N341" s="332"/>
      <c r="O341" s="332"/>
      <c r="P341" s="332"/>
      <c r="Q341" s="332"/>
      <c r="R341" s="332"/>
      <c r="S341" s="332"/>
      <c r="T341" s="332"/>
    </row>
    <row r="342" spans="1:20" x14ac:dyDescent="0.6">
      <c r="A342" s="334"/>
      <c r="B342" s="610"/>
      <c r="C342" s="365"/>
      <c r="D342" s="364"/>
      <c r="E342" s="363"/>
      <c r="F342" s="363"/>
      <c r="G342" s="364"/>
      <c r="H342" s="363"/>
      <c r="I342" s="363"/>
      <c r="J342" s="364"/>
      <c r="K342" s="363"/>
      <c r="L342" s="363"/>
      <c r="M342" s="737"/>
      <c r="N342" s="332"/>
      <c r="O342" s="332"/>
      <c r="P342" s="332"/>
      <c r="Q342" s="332"/>
      <c r="R342" s="332"/>
      <c r="S342" s="332"/>
      <c r="T342" s="332"/>
    </row>
    <row r="343" spans="1:20" x14ac:dyDescent="0.6">
      <c r="A343" s="334"/>
      <c r="B343" s="610"/>
      <c r="C343" s="365"/>
      <c r="D343" s="364"/>
      <c r="E343" s="363"/>
      <c r="F343" s="363"/>
      <c r="G343" s="364"/>
      <c r="H343" s="363"/>
      <c r="I343" s="363"/>
      <c r="J343" s="364"/>
      <c r="K343" s="363"/>
      <c r="L343" s="363"/>
      <c r="M343" s="737"/>
      <c r="N343" s="332"/>
      <c r="O343" s="332"/>
      <c r="P343" s="332"/>
      <c r="Q343" s="332"/>
      <c r="R343" s="332"/>
      <c r="S343" s="332"/>
      <c r="T343" s="332"/>
    </row>
    <row r="344" spans="1:20" x14ac:dyDescent="0.6">
      <c r="A344" s="334"/>
      <c r="B344" s="610"/>
      <c r="C344" s="365"/>
      <c r="D344" s="364"/>
      <c r="E344" s="363"/>
      <c r="F344" s="363"/>
      <c r="G344" s="364"/>
      <c r="H344" s="363"/>
      <c r="I344" s="363"/>
      <c r="J344" s="364"/>
      <c r="K344" s="363"/>
      <c r="L344" s="363"/>
      <c r="M344" s="737"/>
      <c r="N344" s="332"/>
      <c r="O344" s="332"/>
      <c r="P344" s="332"/>
      <c r="Q344" s="332"/>
      <c r="R344" s="332"/>
      <c r="S344" s="332"/>
      <c r="T344" s="332"/>
    </row>
    <row r="345" spans="1:20" x14ac:dyDescent="0.6">
      <c r="A345" s="334"/>
      <c r="B345" s="610"/>
      <c r="C345" s="365"/>
      <c r="D345" s="364"/>
      <c r="E345" s="363"/>
      <c r="F345" s="363"/>
      <c r="G345" s="364"/>
      <c r="H345" s="363"/>
      <c r="I345" s="363"/>
      <c r="J345" s="364"/>
      <c r="K345" s="363"/>
      <c r="L345" s="363"/>
      <c r="M345" s="737"/>
      <c r="N345" s="332"/>
      <c r="O345" s="332"/>
      <c r="P345" s="332"/>
      <c r="Q345" s="332"/>
      <c r="R345" s="332"/>
      <c r="S345" s="332"/>
      <c r="T345" s="332"/>
    </row>
    <row r="346" spans="1:20" x14ac:dyDescent="0.6">
      <c r="A346" s="334"/>
      <c r="B346" s="610"/>
      <c r="C346" s="365"/>
      <c r="D346" s="364"/>
      <c r="E346" s="363"/>
      <c r="F346" s="363"/>
      <c r="G346" s="364"/>
      <c r="H346" s="363"/>
      <c r="I346" s="363"/>
      <c r="J346" s="364"/>
      <c r="K346" s="363"/>
      <c r="L346" s="363"/>
      <c r="M346" s="737"/>
      <c r="N346" s="332"/>
      <c r="O346" s="332"/>
      <c r="P346" s="332"/>
      <c r="Q346" s="332"/>
      <c r="R346" s="332"/>
      <c r="S346" s="332"/>
      <c r="T346" s="332"/>
    </row>
    <row r="347" spans="1:20" x14ac:dyDescent="0.6">
      <c r="A347" s="334"/>
      <c r="B347" s="610"/>
      <c r="C347" s="365"/>
      <c r="D347" s="364"/>
      <c r="E347" s="363"/>
      <c r="F347" s="363"/>
      <c r="G347" s="364"/>
      <c r="H347" s="363"/>
      <c r="I347" s="363"/>
      <c r="J347" s="364"/>
      <c r="K347" s="363"/>
      <c r="L347" s="363"/>
      <c r="M347" s="737"/>
      <c r="N347" s="332"/>
      <c r="O347" s="332"/>
      <c r="P347" s="332"/>
      <c r="Q347" s="332"/>
      <c r="R347" s="332"/>
      <c r="S347" s="332"/>
      <c r="T347" s="332"/>
    </row>
    <row r="348" spans="1:20" x14ac:dyDescent="0.6">
      <c r="A348" s="334"/>
      <c r="B348" s="610"/>
      <c r="C348" s="365"/>
      <c r="D348" s="364"/>
      <c r="E348" s="363"/>
      <c r="F348" s="363"/>
      <c r="G348" s="364"/>
      <c r="H348" s="363"/>
      <c r="I348" s="363"/>
      <c r="J348" s="364"/>
      <c r="K348" s="363"/>
      <c r="L348" s="363"/>
      <c r="M348" s="737"/>
      <c r="N348" s="332"/>
      <c r="O348" s="332"/>
      <c r="P348" s="332"/>
      <c r="Q348" s="332"/>
      <c r="R348" s="332"/>
      <c r="S348" s="332"/>
      <c r="T348" s="332"/>
    </row>
    <row r="349" spans="1:20" x14ac:dyDescent="0.6">
      <c r="A349" s="334"/>
      <c r="B349" s="610"/>
      <c r="C349" s="365"/>
      <c r="D349" s="364"/>
      <c r="E349" s="363"/>
      <c r="F349" s="363"/>
      <c r="G349" s="364"/>
      <c r="H349" s="363"/>
      <c r="I349" s="363"/>
      <c r="J349" s="364"/>
      <c r="K349" s="363"/>
      <c r="L349" s="363"/>
      <c r="M349" s="737"/>
      <c r="N349" s="332"/>
      <c r="O349" s="332"/>
      <c r="P349" s="332"/>
      <c r="Q349" s="332"/>
      <c r="R349" s="332"/>
      <c r="S349" s="332"/>
      <c r="T349" s="332"/>
    </row>
    <row r="350" spans="1:20" x14ac:dyDescent="0.6">
      <c r="A350" s="334"/>
      <c r="B350" s="610"/>
      <c r="C350" s="365"/>
      <c r="D350" s="364"/>
      <c r="E350" s="363"/>
      <c r="F350" s="363"/>
      <c r="G350" s="364"/>
      <c r="H350" s="363"/>
      <c r="I350" s="363"/>
      <c r="J350" s="364"/>
      <c r="K350" s="363"/>
      <c r="L350" s="363"/>
      <c r="M350" s="737"/>
      <c r="N350" s="332"/>
      <c r="O350" s="332"/>
      <c r="P350" s="332"/>
      <c r="Q350" s="332"/>
      <c r="R350" s="332"/>
      <c r="S350" s="332"/>
      <c r="T350" s="332"/>
    </row>
    <row r="351" spans="1:20" x14ac:dyDescent="0.6">
      <c r="A351" s="334"/>
      <c r="B351" s="610"/>
      <c r="C351" s="365"/>
      <c r="D351" s="364"/>
      <c r="E351" s="363"/>
      <c r="F351" s="363"/>
      <c r="G351" s="364"/>
      <c r="H351" s="363"/>
      <c r="I351" s="363"/>
      <c r="J351" s="364"/>
      <c r="K351" s="363"/>
      <c r="L351" s="363"/>
      <c r="M351" s="737"/>
      <c r="N351" s="332"/>
      <c r="O351" s="332"/>
      <c r="P351" s="332"/>
      <c r="Q351" s="332"/>
      <c r="R351" s="332"/>
      <c r="S351" s="332"/>
      <c r="T351" s="332"/>
    </row>
    <row r="352" spans="1:20" x14ac:dyDescent="0.6">
      <c r="A352" s="334"/>
      <c r="B352" s="610"/>
      <c r="C352" s="365"/>
      <c r="D352" s="364"/>
      <c r="E352" s="363"/>
      <c r="F352" s="363"/>
      <c r="G352" s="364"/>
      <c r="H352" s="363"/>
      <c r="I352" s="363"/>
      <c r="J352" s="364"/>
      <c r="K352" s="363"/>
      <c r="L352" s="363"/>
      <c r="M352" s="737"/>
      <c r="N352" s="332"/>
      <c r="O352" s="332"/>
      <c r="P352" s="332"/>
      <c r="Q352" s="332"/>
      <c r="R352" s="332"/>
      <c r="S352" s="332"/>
      <c r="T352" s="332"/>
    </row>
    <row r="353" spans="1:20" x14ac:dyDescent="0.6">
      <c r="A353" s="334"/>
      <c r="B353" s="610"/>
      <c r="C353" s="365"/>
      <c r="D353" s="364"/>
      <c r="E353" s="363"/>
      <c r="F353" s="363"/>
      <c r="G353" s="364"/>
      <c r="H353" s="363"/>
      <c r="I353" s="363"/>
      <c r="J353" s="364"/>
      <c r="K353" s="363"/>
      <c r="L353" s="363"/>
      <c r="M353" s="737"/>
      <c r="N353" s="332"/>
      <c r="O353" s="332"/>
      <c r="P353" s="332"/>
      <c r="Q353" s="332"/>
      <c r="R353" s="332"/>
      <c r="S353" s="332"/>
      <c r="T353" s="332"/>
    </row>
    <row r="354" spans="1:20" x14ac:dyDescent="0.6">
      <c r="A354" s="334"/>
      <c r="B354" s="610"/>
      <c r="C354" s="365"/>
      <c r="D354" s="364"/>
      <c r="E354" s="363"/>
      <c r="F354" s="363"/>
      <c r="G354" s="364"/>
      <c r="H354" s="363"/>
      <c r="I354" s="363"/>
      <c r="J354" s="364"/>
      <c r="K354" s="363"/>
      <c r="L354" s="363"/>
      <c r="M354" s="737"/>
      <c r="N354" s="332"/>
      <c r="O354" s="332"/>
      <c r="P354" s="332"/>
      <c r="Q354" s="332"/>
      <c r="R354" s="332"/>
      <c r="S354" s="332"/>
      <c r="T354" s="332"/>
    </row>
    <row r="355" spans="1:20" x14ac:dyDescent="0.6">
      <c r="A355" s="334"/>
      <c r="B355" s="610"/>
      <c r="C355" s="365"/>
      <c r="D355" s="364"/>
      <c r="E355" s="363"/>
      <c r="F355" s="363"/>
      <c r="G355" s="364"/>
      <c r="H355" s="363"/>
      <c r="I355" s="363"/>
      <c r="J355" s="364"/>
      <c r="K355" s="363"/>
      <c r="L355" s="363"/>
      <c r="M355" s="737"/>
      <c r="N355" s="332"/>
      <c r="O355" s="332"/>
      <c r="P355" s="332"/>
      <c r="Q355" s="332"/>
      <c r="R355" s="332"/>
      <c r="S355" s="332"/>
      <c r="T355" s="332"/>
    </row>
    <row r="356" spans="1:20" x14ac:dyDescent="0.6">
      <c r="A356" s="334"/>
      <c r="B356" s="610"/>
      <c r="C356" s="365"/>
      <c r="D356" s="364"/>
      <c r="E356" s="363"/>
      <c r="F356" s="363"/>
      <c r="G356" s="364"/>
      <c r="H356" s="363"/>
      <c r="I356" s="363"/>
      <c r="J356" s="364"/>
      <c r="K356" s="363"/>
      <c r="L356" s="363"/>
      <c r="M356" s="737"/>
      <c r="N356" s="332"/>
      <c r="O356" s="332"/>
      <c r="P356" s="332"/>
      <c r="Q356" s="332"/>
      <c r="R356" s="332"/>
      <c r="S356" s="332"/>
      <c r="T356" s="332"/>
    </row>
    <row r="357" spans="1:20" x14ac:dyDescent="0.6">
      <c r="A357" s="334"/>
      <c r="B357" s="610"/>
      <c r="C357" s="365"/>
      <c r="D357" s="364"/>
      <c r="E357" s="363"/>
      <c r="F357" s="363"/>
      <c r="G357" s="364"/>
      <c r="H357" s="363"/>
      <c r="I357" s="363"/>
      <c r="J357" s="364"/>
      <c r="K357" s="363"/>
      <c r="L357" s="363"/>
      <c r="M357" s="737"/>
      <c r="N357" s="332"/>
      <c r="O357" s="332"/>
      <c r="P357" s="332"/>
      <c r="Q357" s="332"/>
      <c r="R357" s="332"/>
      <c r="S357" s="332"/>
      <c r="T357" s="332"/>
    </row>
    <row r="358" spans="1:20" x14ac:dyDescent="0.6">
      <c r="A358" s="334"/>
      <c r="B358" s="610"/>
      <c r="C358" s="365"/>
      <c r="D358" s="364"/>
      <c r="E358" s="363"/>
      <c r="F358" s="363"/>
      <c r="G358" s="364"/>
      <c r="H358" s="363"/>
      <c r="I358" s="363"/>
      <c r="J358" s="364"/>
      <c r="K358" s="363"/>
      <c r="L358" s="363"/>
      <c r="M358" s="737"/>
      <c r="N358" s="332"/>
      <c r="O358" s="332"/>
      <c r="P358" s="332"/>
      <c r="Q358" s="332"/>
      <c r="R358" s="332"/>
      <c r="S358" s="332"/>
      <c r="T358" s="332"/>
    </row>
    <row r="359" spans="1:20" x14ac:dyDescent="0.6">
      <c r="A359" s="334"/>
      <c r="B359" s="610"/>
      <c r="C359" s="365"/>
      <c r="D359" s="364"/>
      <c r="E359" s="363"/>
      <c r="F359" s="363"/>
      <c r="G359" s="364"/>
      <c r="H359" s="363"/>
      <c r="I359" s="363"/>
      <c r="J359" s="364"/>
      <c r="K359" s="363"/>
      <c r="L359" s="363"/>
      <c r="M359" s="737"/>
      <c r="N359" s="332"/>
      <c r="O359" s="332"/>
      <c r="P359" s="332"/>
      <c r="Q359" s="332"/>
      <c r="R359" s="332"/>
      <c r="S359" s="332"/>
      <c r="T359" s="332"/>
    </row>
    <row r="360" spans="1:20" x14ac:dyDescent="0.6">
      <c r="A360" s="334"/>
      <c r="B360" s="610"/>
      <c r="C360" s="365"/>
      <c r="D360" s="364"/>
      <c r="E360" s="363"/>
      <c r="F360" s="363"/>
      <c r="G360" s="364"/>
      <c r="H360" s="363"/>
      <c r="I360" s="363"/>
      <c r="J360" s="364"/>
      <c r="K360" s="363"/>
      <c r="L360" s="363"/>
      <c r="M360" s="737"/>
      <c r="N360" s="332"/>
      <c r="O360" s="332"/>
      <c r="P360" s="332"/>
      <c r="Q360" s="332"/>
      <c r="R360" s="332"/>
      <c r="S360" s="332"/>
      <c r="T360" s="332"/>
    </row>
    <row r="361" spans="1:20" x14ac:dyDescent="0.6">
      <c r="A361" s="334"/>
      <c r="B361" s="610"/>
      <c r="C361" s="365"/>
      <c r="D361" s="364"/>
      <c r="E361" s="363"/>
      <c r="F361" s="363"/>
      <c r="G361" s="364"/>
      <c r="H361" s="363"/>
      <c r="I361" s="363"/>
      <c r="J361" s="364"/>
      <c r="K361" s="363"/>
      <c r="L361" s="363"/>
      <c r="M361" s="737"/>
      <c r="N361" s="332"/>
      <c r="O361" s="332"/>
      <c r="P361" s="332"/>
      <c r="Q361" s="332"/>
      <c r="R361" s="332"/>
      <c r="S361" s="332"/>
      <c r="T361" s="332"/>
    </row>
    <row r="362" spans="1:20" x14ac:dyDescent="0.6">
      <c r="A362" s="334"/>
      <c r="B362" s="610"/>
      <c r="C362" s="365"/>
      <c r="D362" s="364"/>
      <c r="E362" s="363"/>
      <c r="F362" s="363"/>
      <c r="G362" s="364"/>
      <c r="H362" s="363"/>
      <c r="I362" s="363"/>
      <c r="J362" s="364"/>
      <c r="K362" s="363"/>
      <c r="L362" s="363"/>
      <c r="M362" s="737"/>
      <c r="N362" s="332"/>
      <c r="O362" s="332"/>
      <c r="P362" s="332"/>
      <c r="Q362" s="332"/>
      <c r="R362" s="332"/>
      <c r="S362" s="332"/>
      <c r="T362" s="332"/>
    </row>
    <row r="363" spans="1:20" x14ac:dyDescent="0.6">
      <c r="A363" s="334"/>
      <c r="B363" s="610"/>
      <c r="C363" s="365"/>
      <c r="D363" s="364"/>
      <c r="E363" s="363"/>
      <c r="F363" s="363"/>
      <c r="G363" s="364"/>
      <c r="H363" s="363"/>
      <c r="I363" s="363"/>
      <c r="J363" s="364"/>
      <c r="K363" s="363"/>
      <c r="L363" s="363"/>
      <c r="M363" s="737"/>
      <c r="N363" s="332"/>
      <c r="O363" s="332"/>
      <c r="P363" s="332"/>
      <c r="Q363" s="332"/>
      <c r="R363" s="332"/>
      <c r="S363" s="332"/>
      <c r="T363" s="332"/>
    </row>
    <row r="364" spans="1:20" x14ac:dyDescent="0.6">
      <c r="A364" s="334"/>
      <c r="B364" s="610"/>
      <c r="C364" s="365"/>
      <c r="D364" s="364"/>
      <c r="E364" s="363"/>
      <c r="F364" s="363"/>
      <c r="G364" s="364"/>
      <c r="H364" s="363"/>
      <c r="I364" s="363"/>
      <c r="J364" s="364"/>
      <c r="K364" s="363"/>
      <c r="L364" s="363"/>
      <c r="M364" s="737"/>
      <c r="N364" s="332"/>
      <c r="O364" s="332"/>
      <c r="P364" s="332"/>
      <c r="Q364" s="332"/>
      <c r="R364" s="332"/>
      <c r="S364" s="332"/>
      <c r="T364" s="332"/>
    </row>
    <row r="365" spans="1:20" x14ac:dyDescent="0.6">
      <c r="A365" s="334"/>
      <c r="B365" s="610"/>
      <c r="C365" s="365"/>
      <c r="D365" s="364"/>
      <c r="E365" s="363"/>
      <c r="F365" s="363"/>
      <c r="G365" s="364"/>
      <c r="H365" s="363"/>
      <c r="I365" s="363"/>
      <c r="J365" s="364"/>
      <c r="K365" s="363"/>
      <c r="L365" s="363"/>
      <c r="M365" s="737"/>
      <c r="N365" s="332"/>
      <c r="O365" s="332"/>
      <c r="P365" s="332"/>
      <c r="Q365" s="332"/>
      <c r="R365" s="332"/>
      <c r="S365" s="332"/>
      <c r="T365" s="332"/>
    </row>
    <row r="366" spans="1:20" x14ac:dyDescent="0.6">
      <c r="A366" s="334"/>
      <c r="B366" s="610"/>
      <c r="C366" s="365"/>
      <c r="D366" s="364"/>
      <c r="E366" s="363"/>
      <c r="F366" s="363"/>
      <c r="G366" s="364"/>
      <c r="H366" s="363"/>
      <c r="I366" s="363"/>
      <c r="J366" s="364"/>
      <c r="K366" s="363"/>
      <c r="L366" s="363"/>
      <c r="M366" s="737"/>
      <c r="N366" s="332"/>
      <c r="O366" s="332"/>
      <c r="P366" s="332"/>
      <c r="Q366" s="332"/>
      <c r="R366" s="332"/>
      <c r="S366" s="332"/>
      <c r="T366" s="332"/>
    </row>
    <row r="367" spans="1:20" x14ac:dyDescent="0.6">
      <c r="A367" s="334"/>
      <c r="B367" s="610"/>
      <c r="C367" s="365"/>
      <c r="D367" s="364"/>
      <c r="E367" s="363"/>
      <c r="F367" s="363"/>
      <c r="G367" s="364"/>
      <c r="H367" s="363"/>
      <c r="I367" s="363"/>
      <c r="J367" s="364"/>
      <c r="K367" s="363"/>
      <c r="L367" s="363"/>
      <c r="M367" s="737"/>
      <c r="N367" s="332"/>
      <c r="O367" s="332"/>
      <c r="P367" s="332"/>
      <c r="Q367" s="332"/>
      <c r="R367" s="332"/>
      <c r="S367" s="332"/>
      <c r="T367" s="332"/>
    </row>
    <row r="368" spans="1:20" x14ac:dyDescent="0.6">
      <c r="A368" s="334"/>
      <c r="B368" s="610"/>
      <c r="C368" s="365"/>
      <c r="D368" s="364"/>
      <c r="E368" s="363"/>
      <c r="F368" s="363"/>
      <c r="G368" s="364"/>
      <c r="H368" s="363"/>
      <c r="I368" s="363"/>
      <c r="J368" s="364"/>
      <c r="K368" s="363"/>
      <c r="L368" s="363"/>
      <c r="M368" s="737"/>
      <c r="N368" s="332"/>
      <c r="O368" s="332"/>
      <c r="P368" s="332"/>
      <c r="Q368" s="332"/>
      <c r="R368" s="332"/>
      <c r="S368" s="332"/>
      <c r="T368" s="332"/>
    </row>
    <row r="369" spans="1:20" x14ac:dyDescent="0.6">
      <c r="A369" s="334"/>
      <c r="B369" s="610"/>
      <c r="C369" s="365"/>
      <c r="D369" s="364"/>
      <c r="E369" s="363"/>
      <c r="F369" s="363"/>
      <c r="G369" s="364"/>
      <c r="H369" s="363"/>
      <c r="I369" s="363"/>
      <c r="J369" s="364"/>
      <c r="K369" s="363"/>
      <c r="L369" s="363"/>
      <c r="M369" s="737"/>
      <c r="N369" s="332"/>
      <c r="O369" s="332"/>
      <c r="P369" s="332"/>
      <c r="Q369" s="332"/>
      <c r="R369" s="332"/>
      <c r="S369" s="332"/>
      <c r="T369" s="332"/>
    </row>
    <row r="370" spans="1:20" x14ac:dyDescent="0.6">
      <c r="A370" s="334"/>
      <c r="B370" s="610"/>
      <c r="C370" s="365"/>
      <c r="D370" s="364"/>
      <c r="E370" s="363"/>
      <c r="F370" s="363"/>
      <c r="G370" s="364"/>
      <c r="H370" s="363"/>
      <c r="I370" s="363"/>
      <c r="J370" s="364"/>
      <c r="K370" s="363"/>
      <c r="L370" s="363"/>
      <c r="M370" s="737"/>
      <c r="N370" s="332"/>
      <c r="O370" s="332"/>
      <c r="P370" s="332"/>
      <c r="Q370" s="332"/>
      <c r="R370" s="332"/>
      <c r="S370" s="332"/>
      <c r="T370" s="332"/>
    </row>
    <row r="371" spans="1:20" x14ac:dyDescent="0.6">
      <c r="A371" s="334"/>
      <c r="B371" s="610"/>
      <c r="C371" s="365"/>
      <c r="D371" s="364"/>
      <c r="E371" s="363"/>
      <c r="F371" s="363"/>
      <c r="G371" s="364"/>
      <c r="H371" s="363"/>
      <c r="I371" s="363"/>
      <c r="J371" s="364"/>
      <c r="K371" s="363"/>
      <c r="L371" s="363"/>
      <c r="M371" s="737"/>
      <c r="N371" s="332"/>
      <c r="O371" s="332"/>
      <c r="P371" s="332"/>
      <c r="Q371" s="332"/>
      <c r="R371" s="332"/>
      <c r="S371" s="332"/>
      <c r="T371" s="332"/>
    </row>
    <row r="372" spans="1:20" x14ac:dyDescent="0.6">
      <c r="A372" s="334"/>
      <c r="B372" s="610"/>
      <c r="C372" s="365"/>
      <c r="D372" s="364"/>
      <c r="E372" s="363"/>
      <c r="F372" s="363"/>
      <c r="G372" s="364"/>
      <c r="H372" s="363"/>
      <c r="I372" s="363"/>
      <c r="J372" s="364"/>
      <c r="K372" s="363"/>
      <c r="L372" s="363"/>
      <c r="M372" s="737"/>
      <c r="N372" s="332"/>
      <c r="O372" s="332"/>
      <c r="P372" s="332"/>
      <c r="Q372" s="332"/>
      <c r="R372" s="332"/>
      <c r="S372" s="332"/>
      <c r="T372" s="332"/>
    </row>
    <row r="373" spans="1:20" x14ac:dyDescent="0.6">
      <c r="A373" s="334"/>
      <c r="B373" s="610"/>
      <c r="C373" s="365"/>
      <c r="D373" s="364"/>
      <c r="E373" s="363"/>
      <c r="F373" s="363"/>
      <c r="G373" s="364"/>
      <c r="H373" s="363"/>
      <c r="I373" s="363"/>
      <c r="J373" s="364"/>
      <c r="K373" s="363"/>
      <c r="L373" s="363"/>
      <c r="M373" s="737"/>
      <c r="N373" s="332"/>
      <c r="O373" s="332"/>
      <c r="P373" s="332"/>
      <c r="Q373" s="332"/>
      <c r="R373" s="332"/>
      <c r="S373" s="332"/>
      <c r="T373" s="332"/>
    </row>
    <row r="374" spans="1:20" x14ac:dyDescent="0.6">
      <c r="A374" s="334"/>
      <c r="B374" s="610"/>
      <c r="C374" s="365"/>
      <c r="D374" s="364"/>
      <c r="E374" s="363"/>
      <c r="F374" s="363"/>
      <c r="G374" s="364"/>
      <c r="H374" s="363"/>
      <c r="I374" s="363"/>
      <c r="J374" s="364"/>
      <c r="K374" s="363"/>
      <c r="L374" s="363"/>
      <c r="M374" s="737"/>
      <c r="N374" s="332"/>
      <c r="O374" s="332"/>
      <c r="P374" s="332"/>
      <c r="Q374" s="332"/>
      <c r="R374" s="332"/>
      <c r="S374" s="332"/>
      <c r="T374" s="332"/>
    </row>
    <row r="375" spans="1:20" x14ac:dyDescent="0.6">
      <c r="A375" s="334"/>
      <c r="B375" s="610"/>
      <c r="C375" s="365"/>
      <c r="D375" s="364"/>
      <c r="E375" s="363"/>
      <c r="F375" s="363"/>
      <c r="G375" s="364"/>
      <c r="H375" s="363"/>
      <c r="I375" s="363"/>
      <c r="J375" s="364"/>
      <c r="K375" s="363"/>
      <c r="L375" s="363"/>
      <c r="M375" s="737"/>
      <c r="N375" s="332"/>
      <c r="O375" s="332"/>
      <c r="P375" s="332"/>
      <c r="Q375" s="332"/>
      <c r="R375" s="332"/>
      <c r="S375" s="332"/>
      <c r="T375" s="332"/>
    </row>
    <row r="376" spans="1:20" x14ac:dyDescent="0.6">
      <c r="A376" s="334"/>
      <c r="B376" s="610"/>
      <c r="C376" s="365"/>
      <c r="D376" s="364"/>
      <c r="E376" s="363"/>
      <c r="F376" s="363"/>
      <c r="G376" s="364"/>
      <c r="H376" s="363"/>
      <c r="I376" s="363"/>
      <c r="J376" s="364"/>
      <c r="K376" s="363"/>
      <c r="L376" s="363"/>
      <c r="M376" s="737"/>
      <c r="N376" s="332"/>
      <c r="O376" s="332"/>
      <c r="P376" s="332"/>
      <c r="Q376" s="332"/>
      <c r="R376" s="332"/>
      <c r="S376" s="332"/>
      <c r="T376" s="332"/>
    </row>
    <row r="377" spans="1:20" x14ac:dyDescent="0.6">
      <c r="A377" s="334"/>
      <c r="B377" s="610"/>
      <c r="C377" s="365"/>
      <c r="D377" s="364"/>
      <c r="E377" s="363"/>
      <c r="F377" s="363"/>
      <c r="G377" s="364"/>
      <c r="H377" s="363"/>
      <c r="I377" s="363"/>
      <c r="J377" s="364"/>
      <c r="K377" s="363"/>
      <c r="L377" s="363"/>
      <c r="M377" s="737"/>
      <c r="N377" s="332"/>
      <c r="O377" s="332"/>
      <c r="P377" s="332"/>
      <c r="Q377" s="332"/>
      <c r="R377" s="332"/>
      <c r="S377" s="332"/>
      <c r="T377" s="332"/>
    </row>
    <row r="378" spans="1:20" x14ac:dyDescent="0.6">
      <c r="A378" s="334"/>
      <c r="B378" s="610"/>
      <c r="C378" s="365"/>
      <c r="D378" s="364"/>
      <c r="E378" s="363"/>
      <c r="F378" s="363"/>
      <c r="G378" s="364"/>
      <c r="H378" s="363"/>
      <c r="I378" s="363"/>
      <c r="J378" s="364"/>
      <c r="K378" s="363"/>
      <c r="L378" s="363"/>
      <c r="M378" s="737"/>
      <c r="N378" s="332"/>
      <c r="O378" s="332"/>
      <c r="P378" s="332"/>
      <c r="Q378" s="332"/>
      <c r="R378" s="332"/>
      <c r="S378" s="332"/>
      <c r="T378" s="332"/>
    </row>
    <row r="379" spans="1:20" x14ac:dyDescent="0.6">
      <c r="A379" s="334"/>
      <c r="B379" s="610"/>
      <c r="C379" s="365"/>
      <c r="D379" s="364"/>
      <c r="E379" s="363"/>
      <c r="F379" s="363"/>
      <c r="G379" s="364"/>
      <c r="H379" s="363"/>
      <c r="I379" s="363"/>
      <c r="J379" s="364"/>
      <c r="K379" s="363"/>
      <c r="L379" s="363"/>
      <c r="M379" s="737"/>
      <c r="N379" s="332"/>
      <c r="O379" s="332"/>
      <c r="P379" s="332"/>
      <c r="Q379" s="332"/>
      <c r="R379" s="332"/>
      <c r="S379" s="332"/>
      <c r="T379" s="332"/>
    </row>
    <row r="380" spans="1:20" x14ac:dyDescent="0.6">
      <c r="A380" s="334"/>
      <c r="B380" s="610"/>
      <c r="C380" s="365"/>
      <c r="D380" s="364"/>
      <c r="E380" s="363"/>
      <c r="F380" s="363"/>
      <c r="G380" s="364"/>
      <c r="H380" s="363"/>
      <c r="I380" s="363"/>
      <c r="J380" s="364"/>
      <c r="K380" s="363"/>
      <c r="L380" s="363"/>
      <c r="M380" s="737"/>
      <c r="N380" s="332"/>
      <c r="O380" s="332"/>
      <c r="P380" s="332"/>
      <c r="Q380" s="332"/>
      <c r="R380" s="332"/>
      <c r="S380" s="332"/>
      <c r="T380" s="332"/>
    </row>
    <row r="381" spans="1:20" x14ac:dyDescent="0.6">
      <c r="A381" s="334"/>
      <c r="B381" s="610"/>
      <c r="C381" s="365"/>
      <c r="D381" s="364"/>
      <c r="E381" s="363"/>
      <c r="F381" s="363"/>
      <c r="G381" s="364"/>
      <c r="H381" s="363"/>
      <c r="I381" s="363"/>
      <c r="J381" s="364"/>
      <c r="K381" s="363"/>
      <c r="L381" s="363"/>
      <c r="M381" s="737"/>
      <c r="N381" s="332"/>
      <c r="O381" s="332"/>
      <c r="P381" s="332"/>
      <c r="Q381" s="332"/>
      <c r="R381" s="332"/>
      <c r="S381" s="332"/>
      <c r="T381" s="332"/>
    </row>
    <row r="382" spans="1:20" x14ac:dyDescent="0.6">
      <c r="A382" s="334"/>
      <c r="B382" s="610"/>
      <c r="C382" s="365"/>
      <c r="D382" s="364"/>
      <c r="E382" s="363"/>
      <c r="F382" s="363"/>
      <c r="G382" s="364"/>
      <c r="H382" s="363"/>
      <c r="I382" s="363"/>
      <c r="J382" s="364"/>
      <c r="K382" s="363"/>
      <c r="L382" s="363"/>
      <c r="M382" s="737"/>
      <c r="N382" s="332"/>
      <c r="O382" s="332"/>
      <c r="P382" s="332"/>
      <c r="Q382" s="332"/>
      <c r="R382" s="332"/>
      <c r="S382" s="332"/>
      <c r="T382" s="332"/>
    </row>
    <row r="383" spans="1:20" x14ac:dyDescent="0.6">
      <c r="A383" s="334"/>
      <c r="B383" s="610"/>
      <c r="C383" s="365"/>
      <c r="D383" s="364"/>
      <c r="E383" s="363"/>
      <c r="F383" s="363"/>
      <c r="G383" s="364"/>
      <c r="H383" s="363"/>
      <c r="I383" s="363"/>
      <c r="J383" s="364"/>
      <c r="K383" s="363"/>
      <c r="L383" s="363"/>
      <c r="M383" s="737"/>
      <c r="N383" s="332"/>
      <c r="O383" s="332"/>
      <c r="P383" s="332"/>
      <c r="Q383" s="332"/>
      <c r="R383" s="332"/>
      <c r="S383" s="332"/>
      <c r="T383" s="332"/>
    </row>
    <row r="384" spans="1:20" x14ac:dyDescent="0.6">
      <c r="A384" s="334"/>
      <c r="B384" s="610"/>
      <c r="C384" s="365"/>
      <c r="D384" s="364"/>
      <c r="E384" s="363"/>
      <c r="F384" s="363"/>
      <c r="G384" s="364"/>
      <c r="H384" s="363"/>
      <c r="I384" s="363"/>
      <c r="J384" s="364"/>
      <c r="K384" s="363"/>
      <c r="L384" s="363"/>
      <c r="M384" s="737"/>
      <c r="N384" s="332"/>
      <c r="O384" s="332"/>
      <c r="P384" s="332"/>
      <c r="Q384" s="332"/>
      <c r="R384" s="332"/>
      <c r="S384" s="332"/>
      <c r="T384" s="332"/>
    </row>
    <row r="385" spans="1:20" x14ac:dyDescent="0.6">
      <c r="A385" s="334"/>
      <c r="B385" s="610"/>
      <c r="C385" s="365"/>
      <c r="D385" s="364"/>
      <c r="E385" s="363"/>
      <c r="F385" s="363"/>
      <c r="G385" s="364"/>
      <c r="H385" s="363"/>
      <c r="I385" s="363"/>
      <c r="J385" s="364"/>
      <c r="K385" s="363"/>
      <c r="L385" s="363"/>
      <c r="M385" s="737"/>
      <c r="N385" s="332"/>
      <c r="O385" s="332"/>
      <c r="P385" s="332"/>
      <c r="Q385" s="332"/>
      <c r="R385" s="332"/>
      <c r="S385" s="332"/>
      <c r="T385" s="332"/>
    </row>
    <row r="386" spans="1:20" x14ac:dyDescent="0.6">
      <c r="A386" s="334"/>
      <c r="B386" s="610"/>
      <c r="C386" s="365"/>
      <c r="D386" s="364"/>
      <c r="E386" s="363"/>
      <c r="F386" s="363"/>
      <c r="G386" s="364"/>
      <c r="H386" s="363"/>
      <c r="I386" s="363"/>
      <c r="J386" s="364"/>
      <c r="K386" s="363"/>
      <c r="L386" s="363"/>
      <c r="M386" s="737"/>
      <c r="N386" s="332"/>
      <c r="O386" s="332"/>
      <c r="P386" s="332"/>
      <c r="Q386" s="332"/>
      <c r="R386" s="332"/>
      <c r="S386" s="332"/>
      <c r="T386" s="332"/>
    </row>
    <row r="387" spans="1:20" x14ac:dyDescent="0.6">
      <c r="A387" s="334"/>
      <c r="B387" s="610"/>
      <c r="C387" s="365"/>
      <c r="D387" s="364"/>
      <c r="E387" s="363"/>
      <c r="F387" s="363"/>
      <c r="G387" s="364"/>
      <c r="H387" s="363"/>
      <c r="I387" s="363"/>
      <c r="J387" s="364"/>
      <c r="K387" s="363"/>
      <c r="L387" s="363"/>
      <c r="M387" s="737"/>
      <c r="N387" s="332"/>
      <c r="O387" s="332"/>
      <c r="P387" s="332"/>
      <c r="Q387" s="332"/>
      <c r="R387" s="332"/>
      <c r="S387" s="332"/>
      <c r="T387" s="332"/>
    </row>
    <row r="388" spans="1:20" x14ac:dyDescent="0.6">
      <c r="A388" s="334"/>
      <c r="B388" s="610"/>
      <c r="C388" s="365"/>
      <c r="D388" s="364"/>
      <c r="E388" s="363"/>
      <c r="F388" s="363"/>
      <c r="G388" s="364"/>
      <c r="H388" s="363"/>
      <c r="I388" s="363"/>
      <c r="J388" s="364"/>
      <c r="K388" s="363"/>
      <c r="L388" s="363"/>
      <c r="M388" s="737"/>
      <c r="N388" s="332"/>
      <c r="O388" s="332"/>
      <c r="P388" s="332"/>
      <c r="Q388" s="332"/>
      <c r="R388" s="332"/>
      <c r="S388" s="332"/>
      <c r="T388" s="332"/>
    </row>
    <row r="389" spans="1:20" x14ac:dyDescent="0.6">
      <c r="A389" s="334"/>
      <c r="B389" s="610"/>
      <c r="C389" s="365"/>
      <c r="D389" s="364"/>
      <c r="E389" s="363"/>
      <c r="F389" s="363"/>
      <c r="G389" s="364"/>
      <c r="H389" s="363"/>
      <c r="I389" s="363"/>
      <c r="J389" s="364"/>
      <c r="K389" s="363"/>
      <c r="L389" s="363"/>
      <c r="M389" s="737"/>
      <c r="N389" s="332"/>
      <c r="O389" s="332"/>
      <c r="P389" s="332"/>
      <c r="Q389" s="332"/>
      <c r="R389" s="332"/>
      <c r="S389" s="332"/>
      <c r="T389" s="332"/>
    </row>
    <row r="390" spans="1:20" x14ac:dyDescent="0.6">
      <c r="A390" s="334"/>
      <c r="B390" s="610"/>
      <c r="C390" s="365"/>
      <c r="D390" s="364"/>
      <c r="E390" s="363"/>
      <c r="F390" s="363"/>
      <c r="G390" s="364"/>
      <c r="H390" s="363"/>
      <c r="I390" s="363"/>
      <c r="J390" s="364"/>
      <c r="K390" s="363"/>
      <c r="L390" s="363"/>
      <c r="M390" s="737"/>
      <c r="N390" s="332"/>
      <c r="O390" s="332"/>
      <c r="P390" s="332"/>
      <c r="Q390" s="332"/>
      <c r="R390" s="332"/>
      <c r="S390" s="332"/>
      <c r="T390" s="332"/>
    </row>
    <row r="391" spans="1:20" x14ac:dyDescent="0.6">
      <c r="A391" s="334"/>
      <c r="B391" s="610"/>
      <c r="C391" s="365"/>
      <c r="D391" s="364"/>
      <c r="E391" s="363"/>
      <c r="F391" s="363"/>
      <c r="G391" s="364"/>
      <c r="H391" s="363"/>
      <c r="I391" s="363"/>
      <c r="J391" s="364"/>
      <c r="K391" s="363"/>
      <c r="L391" s="363"/>
      <c r="M391" s="737"/>
      <c r="N391" s="332"/>
      <c r="O391" s="332"/>
      <c r="P391" s="332"/>
      <c r="Q391" s="332"/>
      <c r="R391" s="332"/>
      <c r="S391" s="332"/>
      <c r="T391" s="332"/>
    </row>
    <row r="392" spans="1:20" x14ac:dyDescent="0.6">
      <c r="A392" s="334"/>
      <c r="B392" s="610"/>
      <c r="C392" s="365"/>
      <c r="D392" s="364"/>
      <c r="E392" s="363"/>
      <c r="F392" s="363"/>
      <c r="G392" s="364"/>
      <c r="H392" s="363"/>
      <c r="I392" s="363"/>
      <c r="J392" s="364"/>
      <c r="K392" s="363"/>
      <c r="L392" s="363"/>
      <c r="M392" s="737"/>
      <c r="N392" s="332"/>
      <c r="O392" s="332"/>
      <c r="P392" s="332"/>
      <c r="Q392" s="332"/>
      <c r="R392" s="332"/>
      <c r="S392" s="332"/>
      <c r="T392" s="332"/>
    </row>
    <row r="393" spans="1:20" x14ac:dyDescent="0.6">
      <c r="A393" s="334"/>
      <c r="B393" s="610"/>
      <c r="C393" s="365"/>
      <c r="D393" s="364"/>
      <c r="E393" s="363"/>
      <c r="F393" s="363"/>
      <c r="G393" s="364"/>
      <c r="H393" s="363"/>
      <c r="I393" s="363"/>
      <c r="J393" s="364"/>
      <c r="K393" s="363"/>
      <c r="L393" s="363"/>
      <c r="M393" s="737"/>
      <c r="N393" s="332"/>
      <c r="O393" s="332"/>
      <c r="P393" s="332"/>
      <c r="Q393" s="332"/>
      <c r="R393" s="332"/>
      <c r="S393" s="332"/>
      <c r="T393" s="332"/>
    </row>
    <row r="394" spans="1:20" x14ac:dyDescent="0.6">
      <c r="A394" s="334"/>
      <c r="B394" s="610"/>
      <c r="C394" s="365"/>
      <c r="D394" s="364"/>
      <c r="E394" s="363"/>
      <c r="F394" s="363"/>
      <c r="G394" s="364"/>
      <c r="H394" s="363"/>
      <c r="I394" s="363"/>
      <c r="J394" s="364"/>
      <c r="K394" s="363"/>
      <c r="L394" s="363"/>
      <c r="M394" s="737"/>
      <c r="N394" s="332"/>
      <c r="O394" s="332"/>
      <c r="P394" s="332"/>
      <c r="Q394" s="332"/>
      <c r="R394" s="332"/>
      <c r="S394" s="332"/>
      <c r="T394" s="332"/>
    </row>
    <row r="395" spans="1:20" x14ac:dyDescent="0.6">
      <c r="A395" s="334"/>
      <c r="B395" s="610"/>
      <c r="C395" s="365"/>
      <c r="D395" s="364"/>
      <c r="E395" s="363"/>
      <c r="F395" s="363"/>
      <c r="G395" s="364"/>
      <c r="H395" s="363"/>
      <c r="I395" s="363"/>
      <c r="J395" s="364"/>
      <c r="K395" s="363"/>
      <c r="L395" s="363"/>
      <c r="M395" s="737"/>
      <c r="N395" s="332"/>
      <c r="O395" s="332"/>
      <c r="P395" s="332"/>
      <c r="Q395" s="332"/>
      <c r="R395" s="332"/>
      <c r="S395" s="332"/>
      <c r="T395" s="332"/>
    </row>
    <row r="396" spans="1:20" x14ac:dyDescent="0.6">
      <c r="A396" s="334"/>
      <c r="B396" s="610"/>
      <c r="C396" s="365"/>
      <c r="D396" s="364"/>
      <c r="E396" s="363"/>
      <c r="F396" s="363"/>
      <c r="G396" s="364"/>
      <c r="H396" s="363"/>
      <c r="I396" s="363"/>
      <c r="J396" s="364"/>
      <c r="K396" s="363"/>
      <c r="L396" s="363"/>
      <c r="M396" s="737"/>
      <c r="N396" s="332"/>
      <c r="O396" s="332"/>
      <c r="P396" s="332"/>
      <c r="Q396" s="332"/>
      <c r="R396" s="332"/>
      <c r="S396" s="332"/>
      <c r="T396" s="332"/>
    </row>
    <row r="397" spans="1:20" x14ac:dyDescent="0.6">
      <c r="A397" s="334"/>
      <c r="B397" s="610"/>
      <c r="C397" s="365"/>
      <c r="D397" s="364"/>
      <c r="E397" s="363"/>
      <c r="F397" s="363"/>
      <c r="G397" s="364"/>
      <c r="H397" s="363"/>
      <c r="I397" s="363"/>
      <c r="J397" s="364"/>
      <c r="K397" s="363"/>
      <c r="L397" s="363"/>
      <c r="M397" s="737"/>
      <c r="N397" s="332"/>
      <c r="O397" s="332"/>
      <c r="P397" s="332"/>
      <c r="Q397" s="332"/>
      <c r="R397" s="332"/>
      <c r="S397" s="332"/>
      <c r="T397" s="332"/>
    </row>
    <row r="398" spans="1:20" x14ac:dyDescent="0.6">
      <c r="A398" s="334"/>
      <c r="B398" s="610"/>
      <c r="C398" s="365"/>
      <c r="D398" s="364"/>
      <c r="E398" s="363"/>
      <c r="F398" s="363"/>
      <c r="G398" s="364"/>
      <c r="H398" s="363"/>
      <c r="I398" s="363"/>
      <c r="J398" s="364"/>
      <c r="K398" s="363"/>
      <c r="L398" s="363"/>
      <c r="M398" s="737"/>
      <c r="N398" s="332"/>
      <c r="O398" s="332"/>
      <c r="P398" s="332"/>
      <c r="Q398" s="332"/>
      <c r="R398" s="332"/>
      <c r="S398" s="332"/>
      <c r="T398" s="332"/>
    </row>
    <row r="399" spans="1:20" x14ac:dyDescent="0.6">
      <c r="A399" s="334"/>
      <c r="B399" s="610"/>
      <c r="C399" s="365"/>
      <c r="D399" s="364"/>
      <c r="E399" s="363"/>
      <c r="F399" s="363"/>
      <c r="G399" s="364"/>
      <c r="H399" s="363"/>
      <c r="I399" s="363"/>
      <c r="J399" s="364"/>
      <c r="K399" s="363"/>
      <c r="L399" s="363"/>
      <c r="M399" s="737"/>
      <c r="N399" s="332"/>
      <c r="O399" s="332"/>
      <c r="P399" s="332"/>
      <c r="Q399" s="332"/>
      <c r="R399" s="332"/>
      <c r="S399" s="332"/>
      <c r="T399" s="332"/>
    </row>
    <row r="400" spans="1:20" x14ac:dyDescent="0.6">
      <c r="A400" s="334"/>
      <c r="B400" s="610"/>
      <c r="C400" s="365"/>
      <c r="D400" s="364"/>
      <c r="E400" s="363"/>
      <c r="F400" s="363"/>
      <c r="G400" s="364"/>
      <c r="H400" s="363"/>
      <c r="I400" s="363"/>
      <c r="J400" s="364"/>
      <c r="K400" s="363"/>
      <c r="L400" s="363"/>
      <c r="M400" s="737"/>
      <c r="N400" s="332"/>
      <c r="O400" s="332"/>
      <c r="P400" s="332"/>
      <c r="Q400" s="332"/>
      <c r="R400" s="332"/>
      <c r="S400" s="332"/>
      <c r="T400" s="332"/>
    </row>
    <row r="401" spans="1:20" x14ac:dyDescent="0.6">
      <c r="A401" s="334"/>
      <c r="B401" s="610"/>
      <c r="C401" s="365"/>
      <c r="D401" s="364"/>
      <c r="E401" s="363"/>
      <c r="F401" s="363"/>
      <c r="G401" s="364"/>
      <c r="H401" s="363"/>
      <c r="I401" s="363"/>
      <c r="J401" s="364"/>
      <c r="K401" s="363"/>
      <c r="L401" s="363"/>
      <c r="M401" s="737"/>
      <c r="N401" s="332"/>
      <c r="O401" s="332"/>
      <c r="P401" s="332"/>
      <c r="Q401" s="332"/>
      <c r="R401" s="332"/>
      <c r="S401" s="332"/>
      <c r="T401" s="332"/>
    </row>
    <row r="402" spans="1:20" x14ac:dyDescent="0.6">
      <c r="A402" s="334"/>
      <c r="B402" s="610"/>
      <c r="C402" s="365"/>
      <c r="D402" s="364"/>
      <c r="E402" s="363"/>
      <c r="F402" s="363"/>
      <c r="G402" s="364"/>
      <c r="H402" s="363"/>
      <c r="I402" s="363"/>
      <c r="J402" s="364"/>
      <c r="K402" s="363"/>
      <c r="L402" s="363"/>
      <c r="M402" s="737"/>
      <c r="N402" s="332"/>
      <c r="O402" s="332"/>
      <c r="P402" s="332"/>
      <c r="Q402" s="332"/>
      <c r="R402" s="332"/>
      <c r="S402" s="332"/>
      <c r="T402" s="332"/>
    </row>
    <row r="403" spans="1:20" x14ac:dyDescent="0.6">
      <c r="A403" s="334"/>
      <c r="B403" s="610"/>
      <c r="C403" s="365"/>
      <c r="D403" s="364"/>
      <c r="E403" s="363"/>
      <c r="F403" s="363"/>
      <c r="G403" s="364"/>
      <c r="H403" s="363"/>
      <c r="I403" s="363"/>
      <c r="J403" s="364"/>
      <c r="K403" s="363"/>
      <c r="L403" s="363"/>
      <c r="M403" s="737"/>
      <c r="N403" s="332"/>
      <c r="O403" s="332"/>
      <c r="P403" s="332"/>
      <c r="Q403" s="332"/>
      <c r="R403" s="332"/>
      <c r="S403" s="332"/>
      <c r="T403" s="332"/>
    </row>
    <row r="404" spans="1:20" x14ac:dyDescent="0.6">
      <c r="A404" s="334"/>
      <c r="B404" s="610"/>
      <c r="C404" s="365"/>
      <c r="D404" s="364"/>
      <c r="E404" s="363"/>
      <c r="F404" s="363"/>
      <c r="G404" s="364"/>
      <c r="H404" s="363"/>
      <c r="I404" s="363"/>
      <c r="J404" s="364"/>
      <c r="K404" s="363"/>
      <c r="L404" s="363"/>
      <c r="M404" s="737"/>
      <c r="N404" s="332"/>
      <c r="O404" s="332"/>
      <c r="P404" s="332"/>
      <c r="Q404" s="332"/>
      <c r="R404" s="332"/>
      <c r="S404" s="332"/>
      <c r="T404" s="332"/>
    </row>
    <row r="405" spans="1:20" x14ac:dyDescent="0.6">
      <c r="A405" s="334"/>
      <c r="B405" s="610"/>
      <c r="C405" s="365"/>
      <c r="D405" s="364"/>
      <c r="E405" s="363"/>
      <c r="F405" s="363"/>
      <c r="G405" s="364"/>
      <c r="H405" s="363"/>
      <c r="I405" s="363"/>
      <c r="J405" s="364"/>
      <c r="K405" s="363"/>
      <c r="L405" s="363"/>
      <c r="M405" s="737"/>
      <c r="N405" s="332"/>
      <c r="O405" s="332"/>
      <c r="P405" s="332"/>
      <c r="Q405" s="332"/>
      <c r="R405" s="332"/>
      <c r="S405" s="332"/>
      <c r="T405" s="332"/>
    </row>
    <row r="406" spans="1:20" x14ac:dyDescent="0.6">
      <c r="A406" s="334"/>
      <c r="B406" s="610"/>
      <c r="C406" s="365"/>
      <c r="D406" s="364"/>
      <c r="E406" s="363"/>
      <c r="F406" s="363"/>
      <c r="G406" s="364"/>
      <c r="H406" s="363"/>
      <c r="I406" s="363"/>
      <c r="J406" s="364"/>
      <c r="K406" s="363"/>
      <c r="L406" s="363"/>
      <c r="M406" s="737"/>
      <c r="N406" s="332"/>
      <c r="O406" s="332"/>
      <c r="P406" s="332"/>
      <c r="Q406" s="332"/>
      <c r="R406" s="332"/>
      <c r="S406" s="332"/>
      <c r="T406" s="332"/>
    </row>
    <row r="407" spans="1:20" x14ac:dyDescent="0.6">
      <c r="A407" s="334"/>
      <c r="B407" s="610"/>
      <c r="C407" s="365"/>
      <c r="D407" s="364"/>
      <c r="E407" s="363"/>
      <c r="F407" s="363"/>
      <c r="G407" s="364"/>
      <c r="H407" s="363"/>
      <c r="I407" s="363"/>
      <c r="J407" s="364"/>
      <c r="K407" s="363"/>
      <c r="L407" s="363"/>
      <c r="M407" s="737"/>
      <c r="N407" s="332"/>
      <c r="O407" s="332"/>
      <c r="P407" s="332"/>
      <c r="Q407" s="332"/>
      <c r="R407" s="332"/>
      <c r="S407" s="332"/>
      <c r="T407" s="332"/>
    </row>
    <row r="408" spans="1:20" x14ac:dyDescent="0.6">
      <c r="A408" s="334"/>
      <c r="B408" s="610"/>
      <c r="C408" s="365"/>
      <c r="D408" s="364"/>
      <c r="E408" s="363"/>
      <c r="F408" s="363"/>
      <c r="G408" s="364"/>
      <c r="H408" s="363"/>
      <c r="I408" s="363"/>
      <c r="J408" s="364"/>
      <c r="K408" s="363"/>
      <c r="L408" s="363"/>
      <c r="M408" s="737"/>
      <c r="N408" s="332"/>
      <c r="O408" s="332"/>
      <c r="P408" s="332"/>
      <c r="Q408" s="332"/>
      <c r="R408" s="332"/>
      <c r="S408" s="332"/>
      <c r="T408" s="332"/>
    </row>
    <row r="409" spans="1:20" x14ac:dyDescent="0.6">
      <c r="A409" s="334"/>
      <c r="B409" s="610"/>
      <c r="C409" s="365"/>
      <c r="D409" s="364"/>
      <c r="E409" s="363"/>
      <c r="F409" s="363"/>
      <c r="G409" s="364"/>
      <c r="H409" s="363"/>
      <c r="I409" s="363"/>
      <c r="J409" s="364"/>
      <c r="K409" s="363"/>
      <c r="L409" s="363"/>
      <c r="M409" s="737"/>
      <c r="N409" s="332"/>
      <c r="O409" s="332"/>
      <c r="P409" s="332"/>
      <c r="Q409" s="332"/>
      <c r="R409" s="332"/>
      <c r="S409" s="332"/>
      <c r="T409" s="332"/>
    </row>
    <row r="410" spans="1:20" x14ac:dyDescent="0.6">
      <c r="A410" s="334"/>
      <c r="B410" s="610"/>
      <c r="C410" s="365"/>
      <c r="D410" s="364"/>
      <c r="E410" s="363"/>
      <c r="F410" s="363"/>
      <c r="G410" s="364"/>
      <c r="H410" s="363"/>
      <c r="I410" s="363"/>
      <c r="J410" s="364"/>
      <c r="K410" s="363"/>
      <c r="L410" s="363"/>
      <c r="M410" s="737"/>
      <c r="N410" s="332"/>
      <c r="O410" s="332"/>
      <c r="P410" s="332"/>
      <c r="Q410" s="332"/>
      <c r="R410" s="332"/>
      <c r="S410" s="332"/>
      <c r="T410" s="332"/>
    </row>
    <row r="411" spans="1:20" x14ac:dyDescent="0.6">
      <c r="A411" s="334"/>
      <c r="B411" s="610"/>
      <c r="C411" s="365"/>
      <c r="D411" s="364"/>
      <c r="E411" s="363"/>
      <c r="F411" s="363"/>
      <c r="G411" s="364"/>
      <c r="H411" s="363"/>
      <c r="I411" s="363"/>
      <c r="J411" s="364"/>
      <c r="K411" s="363"/>
      <c r="L411" s="363"/>
      <c r="M411" s="737"/>
      <c r="N411" s="332"/>
      <c r="O411" s="332"/>
      <c r="P411" s="332"/>
      <c r="Q411" s="332"/>
      <c r="R411" s="332"/>
      <c r="S411" s="332"/>
      <c r="T411" s="332"/>
    </row>
    <row r="412" spans="1:20" x14ac:dyDescent="0.6">
      <c r="A412" s="334"/>
      <c r="B412" s="610"/>
      <c r="C412" s="365"/>
      <c r="D412" s="364"/>
      <c r="E412" s="363"/>
      <c r="F412" s="363"/>
      <c r="G412" s="364"/>
      <c r="H412" s="363"/>
      <c r="I412" s="363"/>
      <c r="J412" s="364"/>
      <c r="K412" s="363"/>
      <c r="L412" s="363"/>
      <c r="M412" s="737"/>
      <c r="N412" s="332"/>
      <c r="O412" s="332"/>
      <c r="P412" s="332"/>
      <c r="Q412" s="332"/>
      <c r="R412" s="332"/>
      <c r="S412" s="332"/>
      <c r="T412" s="332"/>
    </row>
    <row r="413" spans="1:20" x14ac:dyDescent="0.6">
      <c r="A413" s="334"/>
      <c r="B413" s="610"/>
      <c r="C413" s="365"/>
      <c r="D413" s="364"/>
      <c r="E413" s="363"/>
      <c r="F413" s="363"/>
      <c r="G413" s="364"/>
      <c r="H413" s="363"/>
      <c r="I413" s="363"/>
      <c r="J413" s="364"/>
      <c r="K413" s="363"/>
      <c r="L413" s="363"/>
      <c r="M413" s="737"/>
      <c r="N413" s="332"/>
      <c r="O413" s="332"/>
      <c r="P413" s="332"/>
      <c r="Q413" s="332"/>
      <c r="R413" s="332"/>
      <c r="S413" s="332"/>
      <c r="T413" s="332"/>
    </row>
    <row r="414" spans="1:20" x14ac:dyDescent="0.6">
      <c r="A414" s="334"/>
      <c r="B414" s="610"/>
      <c r="C414" s="365"/>
      <c r="D414" s="364"/>
      <c r="E414" s="363"/>
      <c r="F414" s="363"/>
      <c r="G414" s="364"/>
      <c r="H414" s="363"/>
      <c r="I414" s="363"/>
      <c r="J414" s="364"/>
      <c r="K414" s="363"/>
      <c r="L414" s="363"/>
      <c r="M414" s="737"/>
      <c r="N414" s="332"/>
      <c r="O414" s="332"/>
      <c r="P414" s="332"/>
      <c r="Q414" s="332"/>
      <c r="R414" s="332"/>
      <c r="S414" s="332"/>
      <c r="T414" s="332"/>
    </row>
    <row r="415" spans="1:20" x14ac:dyDescent="0.6">
      <c r="A415" s="334"/>
      <c r="B415" s="610"/>
      <c r="C415" s="365"/>
      <c r="D415" s="364"/>
      <c r="E415" s="363"/>
      <c r="F415" s="363"/>
      <c r="G415" s="364"/>
      <c r="H415" s="363"/>
      <c r="I415" s="363"/>
      <c r="J415" s="364"/>
      <c r="K415" s="363"/>
      <c r="L415" s="363"/>
      <c r="M415" s="737"/>
      <c r="N415" s="332"/>
      <c r="O415" s="332"/>
      <c r="P415" s="332"/>
      <c r="Q415" s="332"/>
      <c r="R415" s="332"/>
      <c r="S415" s="332"/>
      <c r="T415" s="332"/>
    </row>
    <row r="416" spans="1:20" x14ac:dyDescent="0.6">
      <c r="A416" s="334"/>
      <c r="B416" s="610"/>
      <c r="C416" s="365"/>
      <c r="D416" s="364"/>
      <c r="E416" s="363"/>
      <c r="F416" s="363"/>
      <c r="G416" s="364"/>
      <c r="H416" s="363"/>
      <c r="I416" s="363"/>
      <c r="J416" s="364"/>
      <c r="K416" s="363"/>
      <c r="L416" s="363"/>
      <c r="M416" s="737"/>
      <c r="N416" s="332"/>
      <c r="O416" s="332"/>
      <c r="P416" s="332"/>
      <c r="Q416" s="332"/>
      <c r="R416" s="332"/>
      <c r="S416" s="332"/>
      <c r="T416" s="332"/>
    </row>
    <row r="417" spans="1:20" x14ac:dyDescent="0.6">
      <c r="A417" s="334"/>
      <c r="B417" s="610"/>
      <c r="C417" s="365"/>
      <c r="D417" s="364"/>
      <c r="E417" s="363"/>
      <c r="F417" s="363"/>
      <c r="G417" s="364"/>
      <c r="H417" s="363"/>
      <c r="I417" s="363"/>
      <c r="J417" s="364"/>
      <c r="K417" s="363"/>
      <c r="L417" s="363"/>
      <c r="M417" s="737"/>
      <c r="N417" s="332"/>
      <c r="O417" s="332"/>
      <c r="P417" s="332"/>
      <c r="Q417" s="332"/>
      <c r="R417" s="332"/>
      <c r="S417" s="332"/>
      <c r="T417" s="332"/>
    </row>
    <row r="418" spans="1:20" x14ac:dyDescent="0.6">
      <c r="A418" s="334"/>
      <c r="B418" s="610"/>
      <c r="C418" s="365"/>
      <c r="D418" s="364"/>
      <c r="E418" s="363"/>
      <c r="F418" s="363"/>
      <c r="G418" s="364"/>
      <c r="H418" s="363"/>
      <c r="I418" s="363"/>
      <c r="J418" s="364"/>
      <c r="K418" s="363"/>
      <c r="L418" s="363"/>
      <c r="M418" s="737"/>
      <c r="N418" s="332"/>
      <c r="O418" s="332"/>
      <c r="P418" s="332"/>
      <c r="Q418" s="332"/>
      <c r="R418" s="332"/>
      <c r="S418" s="332"/>
      <c r="T418" s="332"/>
    </row>
    <row r="419" spans="1:20" x14ac:dyDescent="0.6">
      <c r="A419" s="334"/>
      <c r="B419" s="610"/>
      <c r="C419" s="365"/>
      <c r="D419" s="364"/>
      <c r="E419" s="363"/>
      <c r="F419" s="363"/>
      <c r="G419" s="364"/>
      <c r="H419" s="363"/>
      <c r="I419" s="363"/>
      <c r="J419" s="364"/>
      <c r="K419" s="363"/>
      <c r="L419" s="363"/>
      <c r="M419" s="737"/>
      <c r="N419" s="332"/>
      <c r="O419" s="332"/>
      <c r="P419" s="332"/>
      <c r="Q419" s="332"/>
      <c r="R419" s="332"/>
      <c r="S419" s="332"/>
      <c r="T419" s="332"/>
    </row>
    <row r="420" spans="1:20" x14ac:dyDescent="0.6">
      <c r="A420" s="334"/>
      <c r="B420" s="610"/>
      <c r="C420" s="365"/>
      <c r="D420" s="364"/>
      <c r="E420" s="363"/>
      <c r="F420" s="363"/>
      <c r="G420" s="364"/>
      <c r="H420" s="363"/>
      <c r="I420" s="363"/>
      <c r="J420" s="364"/>
      <c r="K420" s="363"/>
      <c r="L420" s="363"/>
      <c r="M420" s="737"/>
      <c r="N420" s="332"/>
      <c r="O420" s="332"/>
      <c r="P420" s="332"/>
      <c r="Q420" s="332"/>
      <c r="R420" s="332"/>
      <c r="S420" s="332"/>
      <c r="T420" s="332"/>
    </row>
    <row r="421" spans="1:20" x14ac:dyDescent="0.6">
      <c r="A421" s="334"/>
      <c r="B421" s="610"/>
      <c r="C421" s="365"/>
      <c r="D421" s="364"/>
      <c r="E421" s="363"/>
      <c r="F421" s="363"/>
      <c r="G421" s="364"/>
      <c r="H421" s="363"/>
      <c r="I421" s="363"/>
      <c r="J421" s="364"/>
      <c r="K421" s="363"/>
      <c r="L421" s="363"/>
      <c r="M421" s="737"/>
      <c r="N421" s="332"/>
      <c r="O421" s="332"/>
      <c r="P421" s="332"/>
      <c r="Q421" s="332"/>
      <c r="R421" s="332"/>
      <c r="S421" s="332"/>
      <c r="T421" s="332"/>
    </row>
    <row r="422" spans="1:20" x14ac:dyDescent="0.6">
      <c r="A422" s="334"/>
      <c r="B422" s="610"/>
      <c r="C422" s="365"/>
      <c r="D422" s="364"/>
      <c r="E422" s="363"/>
      <c r="F422" s="363"/>
      <c r="G422" s="364"/>
      <c r="H422" s="363"/>
      <c r="I422" s="363"/>
      <c r="J422" s="364"/>
      <c r="K422" s="363"/>
      <c r="L422" s="363"/>
      <c r="M422" s="737"/>
      <c r="N422" s="332"/>
      <c r="O422" s="332"/>
      <c r="P422" s="332"/>
      <c r="Q422" s="332"/>
      <c r="R422" s="332"/>
      <c r="S422" s="332"/>
      <c r="T422" s="332"/>
    </row>
    <row r="423" spans="1:20" x14ac:dyDescent="0.6">
      <c r="A423" s="334"/>
      <c r="B423" s="610"/>
      <c r="C423" s="365"/>
      <c r="D423" s="364"/>
      <c r="E423" s="363"/>
      <c r="F423" s="363"/>
      <c r="G423" s="364"/>
      <c r="H423" s="363"/>
      <c r="I423" s="363"/>
      <c r="J423" s="364"/>
      <c r="K423" s="363"/>
      <c r="L423" s="363"/>
      <c r="M423" s="737"/>
      <c r="N423" s="332"/>
      <c r="O423" s="332"/>
      <c r="P423" s="332"/>
      <c r="Q423" s="332"/>
      <c r="R423" s="332"/>
      <c r="S423" s="332"/>
      <c r="T423" s="332"/>
    </row>
    <row r="424" spans="1:20" x14ac:dyDescent="0.6">
      <c r="A424" s="334"/>
      <c r="B424" s="610"/>
      <c r="C424" s="365"/>
      <c r="D424" s="364"/>
      <c r="E424" s="363"/>
      <c r="F424" s="363"/>
      <c r="G424" s="364"/>
      <c r="H424" s="363"/>
      <c r="I424" s="363"/>
      <c r="J424" s="364"/>
      <c r="K424" s="363"/>
      <c r="L424" s="363"/>
      <c r="M424" s="737"/>
      <c r="N424" s="332"/>
      <c r="O424" s="332"/>
      <c r="P424" s="332"/>
      <c r="Q424" s="332"/>
      <c r="R424" s="332"/>
      <c r="S424" s="332"/>
      <c r="T424" s="332"/>
    </row>
    <row r="425" spans="1:20" x14ac:dyDescent="0.6">
      <c r="A425" s="334"/>
      <c r="B425" s="610"/>
      <c r="C425" s="365"/>
      <c r="D425" s="364"/>
      <c r="E425" s="363"/>
      <c r="F425" s="363"/>
      <c r="G425" s="364"/>
      <c r="H425" s="363"/>
      <c r="I425" s="363"/>
      <c r="J425" s="364"/>
      <c r="K425" s="363"/>
      <c r="L425" s="363"/>
      <c r="M425" s="737"/>
      <c r="N425" s="332"/>
      <c r="O425" s="332"/>
      <c r="P425" s="332"/>
      <c r="Q425" s="332"/>
      <c r="R425" s="332"/>
      <c r="S425" s="332"/>
      <c r="T425" s="332"/>
    </row>
    <row r="426" spans="1:20" x14ac:dyDescent="0.6">
      <c r="A426" s="334"/>
      <c r="B426" s="610"/>
      <c r="C426" s="365"/>
      <c r="D426" s="364"/>
      <c r="E426" s="363"/>
      <c r="F426" s="363"/>
      <c r="G426" s="364"/>
      <c r="H426" s="363"/>
      <c r="I426" s="363"/>
      <c r="J426" s="364"/>
      <c r="K426" s="363"/>
      <c r="L426" s="363"/>
      <c r="M426" s="737"/>
      <c r="N426" s="332"/>
      <c r="O426" s="332"/>
      <c r="P426" s="332"/>
      <c r="Q426" s="332"/>
      <c r="R426" s="332"/>
      <c r="S426" s="332"/>
      <c r="T426" s="332"/>
    </row>
    <row r="427" spans="1:20" x14ac:dyDescent="0.6">
      <c r="A427" s="334"/>
      <c r="B427" s="610"/>
      <c r="C427" s="365"/>
      <c r="D427" s="364"/>
      <c r="E427" s="363"/>
      <c r="F427" s="363"/>
      <c r="G427" s="364"/>
      <c r="H427" s="363"/>
      <c r="I427" s="363"/>
      <c r="J427" s="364"/>
      <c r="K427" s="363"/>
      <c r="L427" s="363"/>
      <c r="M427" s="737"/>
      <c r="N427" s="332"/>
      <c r="O427" s="332"/>
      <c r="P427" s="332"/>
      <c r="Q427" s="332"/>
      <c r="R427" s="332"/>
      <c r="S427" s="332"/>
      <c r="T427" s="332"/>
    </row>
    <row r="428" spans="1:20" x14ac:dyDescent="0.6">
      <c r="A428" s="334"/>
      <c r="B428" s="610"/>
      <c r="C428" s="365"/>
      <c r="D428" s="364"/>
      <c r="E428" s="363"/>
      <c r="F428" s="363"/>
      <c r="G428" s="364"/>
      <c r="H428" s="363"/>
      <c r="I428" s="363"/>
      <c r="J428" s="364"/>
      <c r="K428" s="363"/>
      <c r="L428" s="363"/>
      <c r="M428" s="737"/>
      <c r="N428" s="332"/>
      <c r="O428" s="332"/>
      <c r="P428" s="332"/>
      <c r="Q428" s="332"/>
      <c r="R428" s="332"/>
      <c r="S428" s="332"/>
      <c r="T428" s="332"/>
    </row>
    <row r="429" spans="1:20" x14ac:dyDescent="0.6">
      <c r="A429" s="334"/>
      <c r="B429" s="610"/>
      <c r="C429" s="365"/>
      <c r="D429" s="364"/>
      <c r="E429" s="363"/>
      <c r="F429" s="363"/>
      <c r="G429" s="364"/>
      <c r="H429" s="363"/>
      <c r="I429" s="363"/>
      <c r="J429" s="364"/>
      <c r="K429" s="363"/>
      <c r="L429" s="363"/>
      <c r="M429" s="737"/>
      <c r="N429" s="332"/>
      <c r="O429" s="332"/>
      <c r="P429" s="332"/>
      <c r="Q429" s="332"/>
      <c r="R429" s="332"/>
      <c r="S429" s="332"/>
      <c r="T429" s="332"/>
    </row>
    <row r="430" spans="1:20" x14ac:dyDescent="0.6">
      <c r="A430" s="334"/>
      <c r="B430" s="610"/>
      <c r="C430" s="365"/>
      <c r="D430" s="364"/>
      <c r="E430" s="363"/>
      <c r="F430" s="363"/>
      <c r="G430" s="364"/>
      <c r="H430" s="363"/>
      <c r="I430" s="363"/>
      <c r="J430" s="364"/>
      <c r="K430" s="363"/>
      <c r="L430" s="363"/>
      <c r="M430" s="737"/>
      <c r="N430" s="332"/>
      <c r="O430" s="332"/>
      <c r="P430" s="332"/>
      <c r="Q430" s="332"/>
      <c r="R430" s="332"/>
      <c r="S430" s="332"/>
      <c r="T430" s="332"/>
    </row>
    <row r="431" spans="1:20" x14ac:dyDescent="0.6">
      <c r="A431" s="334"/>
      <c r="B431" s="610"/>
      <c r="C431" s="365"/>
      <c r="D431" s="364"/>
      <c r="E431" s="363"/>
      <c r="F431" s="363"/>
      <c r="G431" s="364"/>
      <c r="H431" s="363"/>
      <c r="I431" s="363"/>
      <c r="J431" s="364"/>
      <c r="K431" s="363"/>
      <c r="L431" s="363"/>
      <c r="M431" s="737"/>
      <c r="N431" s="332"/>
      <c r="O431" s="332"/>
      <c r="P431" s="332"/>
      <c r="Q431" s="332"/>
      <c r="R431" s="332"/>
      <c r="S431" s="332"/>
      <c r="T431" s="332"/>
    </row>
    <row r="432" spans="1:20" x14ac:dyDescent="0.6">
      <c r="A432" s="334"/>
      <c r="B432" s="610"/>
      <c r="C432" s="365"/>
      <c r="D432" s="364"/>
      <c r="E432" s="363"/>
      <c r="F432" s="363"/>
      <c r="G432" s="364"/>
      <c r="H432" s="363"/>
      <c r="I432" s="363"/>
      <c r="J432" s="364"/>
      <c r="K432" s="363"/>
      <c r="L432" s="363"/>
      <c r="M432" s="737"/>
      <c r="N432" s="332"/>
      <c r="O432" s="332"/>
      <c r="P432" s="332"/>
      <c r="Q432" s="332"/>
      <c r="R432" s="332"/>
      <c r="S432" s="332"/>
      <c r="T432" s="332"/>
    </row>
    <row r="433" spans="1:20" x14ac:dyDescent="0.6">
      <c r="A433" s="334"/>
      <c r="B433" s="610"/>
      <c r="C433" s="365"/>
      <c r="D433" s="364"/>
      <c r="E433" s="363"/>
      <c r="F433" s="363"/>
      <c r="G433" s="364"/>
      <c r="H433" s="363"/>
      <c r="I433" s="363"/>
      <c r="J433" s="364"/>
      <c r="K433" s="363"/>
      <c r="L433" s="363"/>
      <c r="M433" s="737"/>
      <c r="N433" s="332"/>
      <c r="O433" s="332"/>
      <c r="P433" s="332"/>
      <c r="Q433" s="332"/>
      <c r="R433" s="332"/>
      <c r="S433" s="332"/>
      <c r="T433" s="332"/>
    </row>
    <row r="434" spans="1:20" x14ac:dyDescent="0.6">
      <c r="A434" s="334"/>
      <c r="B434" s="610"/>
      <c r="C434" s="365"/>
      <c r="D434" s="364"/>
      <c r="E434" s="363"/>
      <c r="F434" s="363"/>
      <c r="G434" s="364"/>
      <c r="H434" s="363"/>
      <c r="I434" s="363"/>
      <c r="J434" s="364"/>
      <c r="K434" s="363"/>
      <c r="L434" s="363"/>
      <c r="M434" s="737"/>
      <c r="N434" s="332"/>
      <c r="O434" s="332"/>
      <c r="P434" s="332"/>
      <c r="Q434" s="332"/>
      <c r="R434" s="332"/>
      <c r="S434" s="332"/>
      <c r="T434" s="332"/>
    </row>
    <row r="435" spans="1:20" x14ac:dyDescent="0.6">
      <c r="A435" s="334"/>
      <c r="B435" s="610"/>
      <c r="C435" s="365"/>
      <c r="D435" s="364"/>
      <c r="E435" s="363"/>
      <c r="F435" s="363"/>
      <c r="G435" s="364"/>
      <c r="H435" s="363"/>
      <c r="I435" s="363"/>
      <c r="J435" s="364"/>
      <c r="K435" s="363"/>
      <c r="L435" s="363"/>
      <c r="M435" s="737"/>
      <c r="N435" s="332"/>
      <c r="O435" s="332"/>
      <c r="P435" s="332"/>
      <c r="Q435" s="332"/>
      <c r="R435" s="332"/>
      <c r="S435" s="332"/>
      <c r="T435" s="332"/>
    </row>
    <row r="436" spans="1:20" x14ac:dyDescent="0.6">
      <c r="A436" s="334"/>
      <c r="B436" s="610"/>
      <c r="C436" s="365"/>
      <c r="D436" s="364"/>
      <c r="E436" s="363"/>
      <c r="F436" s="363"/>
      <c r="G436" s="364"/>
      <c r="H436" s="363"/>
      <c r="I436" s="363"/>
      <c r="J436" s="364"/>
      <c r="K436" s="363"/>
      <c r="L436" s="363"/>
      <c r="M436" s="737"/>
      <c r="N436" s="332"/>
      <c r="O436" s="332"/>
      <c r="P436" s="332"/>
      <c r="Q436" s="332"/>
      <c r="R436" s="332"/>
      <c r="S436" s="332"/>
      <c r="T436" s="332"/>
    </row>
    <row r="437" spans="1:20" x14ac:dyDescent="0.6">
      <c r="A437" s="334"/>
      <c r="B437" s="610"/>
      <c r="C437" s="365"/>
      <c r="D437" s="364"/>
      <c r="E437" s="363"/>
      <c r="F437" s="363"/>
      <c r="G437" s="364"/>
      <c r="H437" s="363"/>
      <c r="I437" s="363"/>
      <c r="J437" s="364"/>
      <c r="K437" s="363"/>
      <c r="L437" s="363"/>
      <c r="M437" s="737"/>
      <c r="N437" s="332"/>
      <c r="O437" s="332"/>
      <c r="P437" s="332"/>
      <c r="Q437" s="332"/>
      <c r="R437" s="332"/>
      <c r="S437" s="332"/>
      <c r="T437" s="332"/>
    </row>
    <row r="438" spans="1:20" x14ac:dyDescent="0.6">
      <c r="A438" s="334"/>
      <c r="B438" s="610"/>
      <c r="C438" s="365"/>
      <c r="D438" s="364"/>
      <c r="E438" s="363"/>
      <c r="F438" s="363"/>
      <c r="G438" s="364"/>
      <c r="H438" s="363"/>
      <c r="I438" s="363"/>
      <c r="J438" s="364"/>
      <c r="K438" s="363"/>
      <c r="L438" s="363"/>
      <c r="M438" s="737"/>
      <c r="N438" s="332"/>
      <c r="O438" s="332"/>
      <c r="P438" s="332"/>
      <c r="Q438" s="332"/>
      <c r="R438" s="332"/>
      <c r="S438" s="332"/>
      <c r="T438" s="332"/>
    </row>
    <row r="439" spans="1:20" x14ac:dyDescent="0.6">
      <c r="A439" s="334"/>
      <c r="B439" s="610"/>
      <c r="C439" s="365"/>
      <c r="D439" s="364"/>
      <c r="E439" s="363"/>
      <c r="F439" s="363"/>
      <c r="G439" s="364"/>
      <c r="H439" s="363"/>
      <c r="I439" s="363"/>
      <c r="J439" s="364"/>
      <c r="K439" s="363"/>
      <c r="L439" s="363"/>
      <c r="M439" s="737"/>
      <c r="N439" s="332"/>
      <c r="O439" s="332"/>
      <c r="P439" s="332"/>
      <c r="Q439" s="332"/>
      <c r="R439" s="332"/>
      <c r="S439" s="332"/>
      <c r="T439" s="332"/>
    </row>
    <row r="440" spans="1:20" x14ac:dyDescent="0.6">
      <c r="A440" s="334"/>
      <c r="B440" s="610"/>
      <c r="C440" s="365"/>
      <c r="D440" s="364"/>
      <c r="E440" s="363"/>
      <c r="F440" s="363"/>
      <c r="G440" s="364"/>
      <c r="H440" s="363"/>
      <c r="I440" s="363"/>
      <c r="J440" s="364"/>
      <c r="K440" s="363"/>
      <c r="L440" s="363"/>
      <c r="M440" s="737"/>
      <c r="N440" s="332"/>
      <c r="O440" s="332"/>
      <c r="P440" s="332"/>
      <c r="Q440" s="332"/>
      <c r="R440" s="332"/>
      <c r="S440" s="332"/>
      <c r="T440" s="332"/>
    </row>
    <row r="441" spans="1:20" x14ac:dyDescent="0.6">
      <c r="A441" s="334"/>
      <c r="B441" s="610"/>
      <c r="C441" s="365"/>
      <c r="D441" s="364"/>
      <c r="E441" s="363"/>
      <c r="F441" s="363"/>
      <c r="G441" s="364"/>
      <c r="H441" s="363"/>
      <c r="I441" s="363"/>
      <c r="J441" s="364"/>
      <c r="K441" s="363"/>
      <c r="L441" s="363"/>
      <c r="M441" s="737"/>
      <c r="N441" s="332"/>
      <c r="O441" s="332"/>
      <c r="P441" s="332"/>
      <c r="Q441" s="332"/>
      <c r="R441" s="332"/>
      <c r="S441" s="332"/>
      <c r="T441" s="332"/>
    </row>
    <row r="442" spans="1:20" x14ac:dyDescent="0.6">
      <c r="A442" s="334"/>
      <c r="B442" s="610"/>
      <c r="C442" s="365"/>
      <c r="D442" s="364"/>
      <c r="E442" s="363"/>
      <c r="F442" s="363"/>
      <c r="G442" s="364"/>
      <c r="H442" s="363"/>
      <c r="I442" s="363"/>
      <c r="J442" s="364"/>
      <c r="K442" s="363"/>
      <c r="L442" s="363"/>
      <c r="M442" s="737"/>
      <c r="N442" s="332"/>
      <c r="O442" s="332"/>
      <c r="P442" s="332"/>
      <c r="Q442" s="332"/>
      <c r="R442" s="332"/>
      <c r="S442" s="332"/>
      <c r="T442" s="332"/>
    </row>
    <row r="443" spans="1:20" x14ac:dyDescent="0.6">
      <c r="A443" s="334"/>
      <c r="B443" s="610"/>
      <c r="C443" s="365"/>
      <c r="D443" s="364"/>
      <c r="E443" s="363"/>
      <c r="F443" s="363"/>
      <c r="G443" s="364"/>
      <c r="H443" s="363"/>
      <c r="I443" s="363"/>
      <c r="J443" s="364"/>
      <c r="K443" s="363"/>
      <c r="L443" s="363"/>
      <c r="M443" s="737"/>
      <c r="N443" s="332"/>
      <c r="O443" s="332"/>
      <c r="P443" s="332"/>
      <c r="Q443" s="332"/>
      <c r="R443" s="332"/>
      <c r="S443" s="332"/>
      <c r="T443" s="332"/>
    </row>
    <row r="444" spans="1:20" x14ac:dyDescent="0.6">
      <c r="A444" s="334"/>
      <c r="B444" s="610"/>
      <c r="C444" s="365"/>
      <c r="D444" s="364"/>
      <c r="E444" s="363"/>
      <c r="F444" s="363"/>
      <c r="G444" s="364"/>
      <c r="H444" s="363"/>
      <c r="I444" s="363"/>
      <c r="J444" s="364"/>
      <c r="K444" s="363"/>
      <c r="L444" s="363"/>
      <c r="M444" s="737"/>
      <c r="N444" s="332"/>
      <c r="O444" s="332"/>
      <c r="P444" s="332"/>
      <c r="Q444" s="332"/>
      <c r="R444" s="332"/>
      <c r="S444" s="332"/>
      <c r="T444" s="332"/>
    </row>
    <row r="445" spans="1:20" x14ac:dyDescent="0.6">
      <c r="A445" s="334"/>
      <c r="B445" s="610"/>
      <c r="C445" s="365"/>
      <c r="D445" s="364"/>
      <c r="E445" s="363"/>
      <c r="F445" s="363"/>
      <c r="G445" s="364"/>
      <c r="H445" s="363"/>
      <c r="I445" s="363"/>
      <c r="J445" s="364"/>
      <c r="K445" s="363"/>
      <c r="L445" s="363"/>
      <c r="M445" s="737"/>
      <c r="N445" s="332"/>
      <c r="O445" s="332"/>
      <c r="P445" s="332"/>
      <c r="Q445" s="332"/>
      <c r="R445" s="332"/>
      <c r="S445" s="332"/>
      <c r="T445" s="332"/>
    </row>
    <row r="446" spans="1:20" x14ac:dyDescent="0.6">
      <c r="A446" s="334"/>
      <c r="B446" s="610"/>
      <c r="C446" s="365"/>
      <c r="D446" s="364"/>
      <c r="E446" s="363"/>
      <c r="F446" s="363"/>
      <c r="G446" s="364"/>
      <c r="H446" s="363"/>
      <c r="I446" s="363"/>
      <c r="J446" s="364"/>
      <c r="K446" s="363"/>
      <c r="L446" s="363"/>
      <c r="M446" s="737"/>
      <c r="N446" s="332"/>
      <c r="O446" s="332"/>
      <c r="P446" s="332"/>
      <c r="Q446" s="332"/>
      <c r="R446" s="332"/>
      <c r="S446" s="332"/>
      <c r="T446" s="332"/>
    </row>
    <row r="447" spans="1:20" x14ac:dyDescent="0.6">
      <c r="A447" s="334"/>
      <c r="B447" s="610"/>
      <c r="C447" s="365"/>
      <c r="D447" s="364"/>
      <c r="E447" s="363"/>
      <c r="F447" s="363"/>
      <c r="G447" s="364"/>
      <c r="H447" s="363"/>
      <c r="I447" s="363"/>
      <c r="J447" s="364"/>
      <c r="K447" s="363"/>
      <c r="L447" s="363"/>
      <c r="M447" s="737"/>
      <c r="N447" s="332"/>
      <c r="O447" s="332"/>
      <c r="P447" s="332"/>
      <c r="Q447" s="332"/>
      <c r="R447" s="332"/>
      <c r="S447" s="332"/>
      <c r="T447" s="332"/>
    </row>
    <row r="448" spans="1:20" x14ac:dyDescent="0.6">
      <c r="A448" s="334"/>
      <c r="B448" s="610"/>
      <c r="C448" s="365"/>
      <c r="D448" s="364"/>
      <c r="E448" s="363"/>
      <c r="F448" s="363"/>
      <c r="G448" s="364"/>
      <c r="H448" s="363"/>
      <c r="I448" s="363"/>
      <c r="J448" s="364"/>
      <c r="K448" s="363"/>
      <c r="L448" s="363"/>
      <c r="M448" s="737"/>
      <c r="N448" s="332"/>
      <c r="O448" s="332"/>
      <c r="P448" s="332"/>
      <c r="Q448" s="332"/>
      <c r="R448" s="332"/>
      <c r="S448" s="332"/>
      <c r="T448" s="332"/>
    </row>
    <row r="449" spans="1:20" x14ac:dyDescent="0.6">
      <c r="A449" s="334"/>
      <c r="B449" s="610"/>
      <c r="C449" s="365"/>
      <c r="D449" s="364"/>
      <c r="E449" s="363"/>
      <c r="F449" s="363"/>
      <c r="G449" s="364"/>
      <c r="H449" s="363"/>
      <c r="I449" s="363"/>
      <c r="J449" s="364"/>
      <c r="K449" s="363"/>
      <c r="L449" s="363"/>
      <c r="M449" s="737"/>
      <c r="N449" s="332"/>
      <c r="O449" s="332"/>
      <c r="P449" s="332"/>
      <c r="Q449" s="332"/>
      <c r="R449" s="332"/>
      <c r="S449" s="332"/>
      <c r="T449" s="332"/>
    </row>
    <row r="450" spans="1:20" x14ac:dyDescent="0.6">
      <c r="A450" s="334"/>
      <c r="B450" s="610"/>
      <c r="C450" s="365"/>
      <c r="D450" s="364"/>
      <c r="E450" s="363"/>
      <c r="F450" s="363"/>
      <c r="G450" s="364"/>
      <c r="H450" s="363"/>
      <c r="I450" s="363"/>
      <c r="J450" s="364"/>
      <c r="K450" s="363"/>
      <c r="L450" s="363"/>
      <c r="M450" s="737"/>
      <c r="N450" s="332"/>
      <c r="O450" s="332"/>
      <c r="P450" s="332"/>
      <c r="Q450" s="332"/>
      <c r="R450" s="332"/>
      <c r="S450" s="332"/>
      <c r="T450" s="332"/>
    </row>
    <row r="451" spans="1:20" x14ac:dyDescent="0.6">
      <c r="A451" s="334"/>
      <c r="B451" s="610"/>
      <c r="C451" s="365"/>
      <c r="D451" s="364"/>
      <c r="E451" s="363"/>
      <c r="F451" s="363"/>
      <c r="G451" s="364"/>
      <c r="H451" s="363"/>
      <c r="I451" s="363"/>
      <c r="J451" s="364"/>
      <c r="K451" s="363"/>
      <c r="L451" s="363"/>
      <c r="M451" s="737"/>
      <c r="N451" s="332"/>
      <c r="O451" s="332"/>
      <c r="P451" s="332"/>
      <c r="Q451" s="332"/>
      <c r="R451" s="332"/>
      <c r="S451" s="332"/>
      <c r="T451" s="332"/>
    </row>
    <row r="452" spans="1:20" x14ac:dyDescent="0.6">
      <c r="A452" s="334"/>
      <c r="B452" s="610"/>
      <c r="C452" s="365"/>
      <c r="D452" s="364"/>
      <c r="E452" s="363"/>
      <c r="F452" s="363"/>
      <c r="G452" s="364"/>
      <c r="H452" s="363"/>
      <c r="I452" s="363"/>
      <c r="J452" s="364"/>
      <c r="K452" s="363"/>
      <c r="L452" s="363"/>
      <c r="M452" s="737"/>
      <c r="N452" s="332"/>
      <c r="O452" s="332"/>
      <c r="P452" s="332"/>
      <c r="Q452" s="332"/>
      <c r="R452" s="332"/>
      <c r="S452" s="332"/>
      <c r="T452" s="332"/>
    </row>
    <row r="453" spans="1:20" x14ac:dyDescent="0.6">
      <c r="A453" s="334"/>
      <c r="B453" s="610"/>
      <c r="C453" s="365"/>
      <c r="D453" s="364"/>
      <c r="E453" s="363"/>
      <c r="F453" s="363"/>
      <c r="G453" s="364"/>
      <c r="H453" s="363"/>
      <c r="I453" s="363"/>
      <c r="J453" s="364"/>
      <c r="K453" s="363"/>
      <c r="L453" s="363"/>
      <c r="M453" s="737"/>
      <c r="N453" s="332"/>
      <c r="O453" s="332"/>
      <c r="P453" s="332"/>
      <c r="Q453" s="332"/>
      <c r="R453" s="332"/>
      <c r="S453" s="332"/>
      <c r="T453" s="332"/>
    </row>
    <row r="454" spans="1:20" x14ac:dyDescent="0.6">
      <c r="A454" s="334"/>
      <c r="B454" s="610"/>
      <c r="C454" s="365"/>
      <c r="D454" s="364"/>
      <c r="E454" s="363"/>
      <c r="F454" s="363"/>
      <c r="G454" s="364"/>
      <c r="H454" s="363"/>
      <c r="I454" s="363"/>
      <c r="J454" s="364"/>
      <c r="K454" s="363"/>
      <c r="L454" s="363"/>
      <c r="M454" s="737"/>
      <c r="N454" s="332"/>
      <c r="O454" s="332"/>
      <c r="P454" s="332"/>
      <c r="Q454" s="332"/>
      <c r="R454" s="332"/>
      <c r="S454" s="332"/>
      <c r="T454" s="332"/>
    </row>
    <row r="455" spans="1:20" x14ac:dyDescent="0.6">
      <c r="A455" s="334"/>
      <c r="B455" s="610"/>
      <c r="C455" s="365"/>
      <c r="D455" s="364"/>
      <c r="E455" s="363"/>
      <c r="F455" s="363"/>
      <c r="G455" s="364"/>
      <c r="H455" s="363"/>
      <c r="I455" s="363"/>
      <c r="J455" s="364"/>
      <c r="K455" s="363"/>
      <c r="L455" s="363"/>
      <c r="M455" s="737"/>
      <c r="N455" s="332"/>
      <c r="O455" s="332"/>
      <c r="P455" s="332"/>
      <c r="Q455" s="332"/>
      <c r="R455" s="332"/>
      <c r="S455" s="332"/>
      <c r="T455" s="332"/>
    </row>
    <row r="456" spans="1:20" x14ac:dyDescent="0.6">
      <c r="A456" s="334"/>
      <c r="B456" s="610"/>
      <c r="C456" s="365"/>
      <c r="D456" s="364"/>
      <c r="E456" s="363"/>
      <c r="F456" s="363"/>
      <c r="G456" s="364"/>
      <c r="H456" s="363"/>
      <c r="I456" s="363"/>
      <c r="J456" s="364"/>
      <c r="K456" s="363"/>
      <c r="L456" s="363"/>
      <c r="M456" s="737"/>
      <c r="N456" s="332"/>
      <c r="O456" s="332"/>
      <c r="P456" s="332"/>
      <c r="Q456" s="332"/>
      <c r="R456" s="332"/>
      <c r="S456" s="332"/>
      <c r="T456" s="332"/>
    </row>
    <row r="457" spans="1:20" x14ac:dyDescent="0.6">
      <c r="A457" s="334"/>
      <c r="B457" s="610"/>
      <c r="C457" s="365"/>
      <c r="D457" s="364"/>
      <c r="E457" s="363"/>
      <c r="F457" s="363"/>
      <c r="G457" s="364"/>
      <c r="H457" s="363"/>
      <c r="I457" s="363"/>
      <c r="J457" s="364"/>
      <c r="K457" s="363"/>
      <c r="L457" s="363"/>
      <c r="M457" s="737"/>
      <c r="N457" s="332"/>
      <c r="O457" s="332"/>
      <c r="P457" s="332"/>
      <c r="Q457" s="332"/>
      <c r="R457" s="332"/>
      <c r="S457" s="332"/>
      <c r="T457" s="332"/>
    </row>
    <row r="458" spans="1:20" x14ac:dyDescent="0.6">
      <c r="A458" s="334"/>
      <c r="B458" s="610"/>
      <c r="C458" s="365"/>
      <c r="D458" s="364"/>
      <c r="E458" s="363"/>
      <c r="F458" s="363"/>
      <c r="G458" s="364"/>
      <c r="H458" s="363"/>
      <c r="I458" s="363"/>
      <c r="J458" s="364"/>
      <c r="K458" s="363"/>
      <c r="L458" s="363"/>
      <c r="M458" s="737"/>
      <c r="N458" s="332"/>
      <c r="O458" s="332"/>
      <c r="P458" s="332"/>
      <c r="Q458" s="332"/>
      <c r="R458" s="332"/>
      <c r="S458" s="332"/>
      <c r="T458" s="332"/>
    </row>
    <row r="459" spans="1:20" x14ac:dyDescent="0.6">
      <c r="A459" s="334"/>
      <c r="B459" s="610"/>
      <c r="C459" s="365"/>
      <c r="D459" s="364"/>
      <c r="E459" s="363"/>
      <c r="F459" s="363"/>
      <c r="G459" s="364"/>
      <c r="H459" s="363"/>
      <c r="I459" s="363"/>
      <c r="J459" s="364"/>
      <c r="K459" s="363"/>
      <c r="L459" s="363"/>
      <c r="M459" s="737"/>
      <c r="N459" s="332"/>
      <c r="O459" s="332"/>
      <c r="P459" s="332"/>
      <c r="Q459" s="332"/>
      <c r="R459" s="332"/>
      <c r="S459" s="332"/>
      <c r="T459" s="332"/>
    </row>
    <row r="460" spans="1:20" x14ac:dyDescent="0.6">
      <c r="A460" s="334"/>
      <c r="B460" s="610"/>
      <c r="C460" s="365"/>
      <c r="D460" s="364"/>
      <c r="E460" s="363"/>
      <c r="F460" s="363"/>
      <c r="G460" s="364"/>
      <c r="H460" s="363"/>
      <c r="I460" s="363"/>
      <c r="J460" s="364"/>
      <c r="K460" s="363"/>
      <c r="L460" s="363"/>
      <c r="M460" s="737"/>
      <c r="N460" s="332"/>
      <c r="O460" s="332"/>
      <c r="P460" s="332"/>
      <c r="Q460" s="332"/>
      <c r="R460" s="332"/>
      <c r="S460" s="332"/>
      <c r="T460" s="332"/>
    </row>
    <row r="461" spans="1:20" x14ac:dyDescent="0.6">
      <c r="A461" s="334"/>
      <c r="B461" s="610"/>
      <c r="C461" s="365"/>
      <c r="D461" s="364"/>
      <c r="E461" s="363"/>
      <c r="F461" s="363"/>
      <c r="G461" s="364"/>
      <c r="H461" s="363"/>
      <c r="I461" s="363"/>
      <c r="J461" s="364"/>
      <c r="K461" s="363"/>
      <c r="L461" s="363"/>
      <c r="M461" s="737"/>
      <c r="N461" s="332"/>
      <c r="O461" s="332"/>
      <c r="P461" s="332"/>
      <c r="Q461" s="332"/>
      <c r="R461" s="332"/>
      <c r="S461" s="332"/>
      <c r="T461" s="332"/>
    </row>
    <row r="462" spans="1:20" x14ac:dyDescent="0.6">
      <c r="A462" s="334"/>
      <c r="B462" s="610"/>
      <c r="C462" s="365"/>
      <c r="D462" s="364"/>
      <c r="E462" s="363"/>
      <c r="F462" s="363"/>
      <c r="G462" s="364"/>
      <c r="H462" s="363"/>
      <c r="I462" s="363"/>
      <c r="J462" s="364"/>
      <c r="K462" s="363"/>
      <c r="L462" s="363"/>
      <c r="M462" s="737"/>
      <c r="N462" s="332"/>
      <c r="O462" s="332"/>
      <c r="P462" s="332"/>
      <c r="Q462" s="332"/>
      <c r="R462" s="332"/>
      <c r="S462" s="332"/>
      <c r="T462" s="332"/>
    </row>
    <row r="463" spans="1:20" x14ac:dyDescent="0.6">
      <c r="A463" s="334"/>
      <c r="B463" s="610"/>
      <c r="C463" s="365"/>
      <c r="D463" s="364"/>
      <c r="E463" s="363"/>
      <c r="F463" s="363"/>
      <c r="G463" s="364"/>
      <c r="H463" s="363"/>
      <c r="I463" s="363"/>
      <c r="J463" s="364"/>
      <c r="K463" s="363"/>
      <c r="L463" s="363"/>
      <c r="M463" s="737"/>
      <c r="N463" s="332"/>
      <c r="O463" s="332"/>
      <c r="P463" s="332"/>
      <c r="Q463" s="332"/>
      <c r="R463" s="332"/>
      <c r="S463" s="332"/>
      <c r="T463" s="332"/>
    </row>
    <row r="464" spans="1:20" x14ac:dyDescent="0.6">
      <c r="A464" s="334"/>
      <c r="B464" s="610"/>
      <c r="C464" s="365"/>
      <c r="D464" s="364"/>
      <c r="E464" s="363"/>
      <c r="F464" s="363"/>
      <c r="G464" s="364"/>
      <c r="H464" s="363"/>
      <c r="I464" s="363"/>
      <c r="J464" s="364"/>
      <c r="K464" s="363"/>
      <c r="L464" s="363"/>
      <c r="M464" s="737"/>
      <c r="N464" s="332"/>
      <c r="O464" s="332"/>
      <c r="P464" s="332"/>
      <c r="Q464" s="332"/>
      <c r="R464" s="332"/>
      <c r="S464" s="332"/>
      <c r="T464" s="332"/>
    </row>
    <row r="465" spans="1:20" x14ac:dyDescent="0.6">
      <c r="A465" s="334"/>
      <c r="B465" s="610"/>
      <c r="C465" s="365"/>
      <c r="D465" s="364"/>
      <c r="E465" s="363"/>
      <c r="F465" s="363"/>
      <c r="G465" s="364"/>
      <c r="H465" s="363"/>
      <c r="I465" s="363"/>
      <c r="J465" s="364"/>
      <c r="K465" s="363"/>
      <c r="L465" s="363"/>
      <c r="M465" s="737"/>
      <c r="N465" s="332"/>
      <c r="O465" s="332"/>
      <c r="P465" s="332"/>
      <c r="Q465" s="332"/>
      <c r="R465" s="332"/>
      <c r="S465" s="332"/>
      <c r="T465" s="332"/>
    </row>
    <row r="466" spans="1:20" x14ac:dyDescent="0.6">
      <c r="A466" s="334"/>
      <c r="B466" s="610"/>
      <c r="C466" s="365"/>
      <c r="D466" s="364"/>
      <c r="E466" s="363"/>
      <c r="F466" s="363"/>
      <c r="G466" s="364"/>
      <c r="H466" s="363"/>
      <c r="I466" s="363"/>
      <c r="J466" s="364"/>
      <c r="K466" s="363"/>
      <c r="L466" s="363"/>
      <c r="M466" s="737"/>
      <c r="N466" s="332"/>
      <c r="O466" s="332"/>
      <c r="P466" s="332"/>
      <c r="Q466" s="332"/>
      <c r="R466" s="332"/>
      <c r="S466" s="332"/>
      <c r="T466" s="332"/>
    </row>
    <row r="467" spans="1:20" x14ac:dyDescent="0.6">
      <c r="A467" s="334"/>
      <c r="B467" s="610"/>
      <c r="C467" s="365"/>
      <c r="D467" s="364"/>
      <c r="E467" s="363"/>
      <c r="F467" s="363"/>
      <c r="G467" s="364"/>
      <c r="H467" s="363"/>
      <c r="I467" s="363"/>
      <c r="J467" s="364"/>
      <c r="K467" s="363"/>
      <c r="L467" s="363"/>
      <c r="M467" s="737"/>
      <c r="N467" s="332"/>
      <c r="O467" s="332"/>
      <c r="P467" s="332"/>
      <c r="Q467" s="332"/>
      <c r="R467" s="332"/>
      <c r="S467" s="332"/>
      <c r="T467" s="332"/>
    </row>
    <row r="468" spans="1:20" x14ac:dyDescent="0.6">
      <c r="A468" s="334"/>
      <c r="B468" s="610"/>
      <c r="C468" s="365"/>
      <c r="D468" s="364"/>
      <c r="E468" s="363"/>
      <c r="F468" s="363"/>
      <c r="G468" s="364"/>
      <c r="H468" s="363"/>
      <c r="I468" s="363"/>
      <c r="J468" s="364"/>
      <c r="K468" s="363"/>
      <c r="L468" s="363"/>
      <c r="M468" s="737"/>
      <c r="N468" s="332"/>
      <c r="O468" s="332"/>
      <c r="P468" s="332"/>
      <c r="Q468" s="332"/>
      <c r="R468" s="332"/>
      <c r="S468" s="332"/>
      <c r="T468" s="332"/>
    </row>
    <row r="469" spans="1:20" x14ac:dyDescent="0.6">
      <c r="A469" s="334"/>
      <c r="B469" s="610"/>
      <c r="C469" s="365"/>
      <c r="D469" s="364"/>
      <c r="E469" s="363"/>
      <c r="F469" s="363"/>
      <c r="G469" s="364"/>
      <c r="H469" s="363"/>
      <c r="I469" s="363"/>
      <c r="J469" s="364"/>
      <c r="K469" s="363"/>
      <c r="L469" s="363"/>
      <c r="M469" s="737"/>
      <c r="N469" s="332"/>
      <c r="O469" s="332"/>
      <c r="P469" s="332"/>
      <c r="Q469" s="332"/>
      <c r="R469" s="332"/>
      <c r="S469" s="332"/>
      <c r="T469" s="332"/>
    </row>
    <row r="470" spans="1:20" x14ac:dyDescent="0.6">
      <c r="A470" s="334"/>
      <c r="B470" s="610"/>
      <c r="C470" s="365"/>
      <c r="D470" s="364"/>
      <c r="E470" s="363"/>
      <c r="F470" s="363"/>
      <c r="G470" s="364"/>
      <c r="H470" s="363"/>
      <c r="I470" s="363"/>
      <c r="J470" s="364"/>
      <c r="K470" s="363"/>
      <c r="L470" s="363"/>
      <c r="M470" s="737"/>
      <c r="N470" s="332"/>
      <c r="O470" s="332"/>
      <c r="P470" s="332"/>
      <c r="Q470" s="332"/>
      <c r="R470" s="332"/>
      <c r="S470" s="332"/>
      <c r="T470" s="332"/>
    </row>
    <row r="471" spans="1:20" x14ac:dyDescent="0.6">
      <c r="A471" s="334"/>
      <c r="B471" s="610"/>
      <c r="C471" s="365"/>
      <c r="D471" s="364"/>
      <c r="E471" s="363"/>
      <c r="F471" s="363"/>
      <c r="G471" s="364"/>
      <c r="H471" s="363"/>
      <c r="I471" s="363"/>
      <c r="J471" s="364"/>
      <c r="K471" s="363"/>
      <c r="L471" s="363"/>
      <c r="M471" s="737"/>
      <c r="N471" s="332"/>
      <c r="O471" s="332"/>
      <c r="P471" s="332"/>
      <c r="Q471" s="332"/>
      <c r="R471" s="332"/>
      <c r="S471" s="332"/>
      <c r="T471" s="332"/>
    </row>
    <row r="472" spans="1:20" x14ac:dyDescent="0.6">
      <c r="A472" s="334"/>
      <c r="B472" s="610"/>
      <c r="C472" s="365"/>
      <c r="D472" s="364"/>
      <c r="E472" s="363"/>
      <c r="F472" s="363"/>
      <c r="G472" s="364"/>
      <c r="H472" s="363"/>
      <c r="I472" s="363"/>
      <c r="J472" s="364"/>
      <c r="K472" s="363"/>
      <c r="L472" s="363"/>
      <c r="M472" s="737"/>
      <c r="N472" s="332"/>
      <c r="O472" s="332"/>
      <c r="P472" s="332"/>
      <c r="Q472" s="332"/>
      <c r="R472" s="332"/>
      <c r="S472" s="332"/>
      <c r="T472" s="332"/>
    </row>
    <row r="473" spans="1:20" x14ac:dyDescent="0.6">
      <c r="A473" s="334"/>
      <c r="B473" s="610"/>
      <c r="C473" s="365"/>
      <c r="D473" s="364"/>
      <c r="E473" s="363"/>
      <c r="F473" s="363"/>
      <c r="G473" s="364"/>
      <c r="H473" s="363"/>
      <c r="I473" s="363"/>
      <c r="J473" s="364"/>
      <c r="K473" s="363"/>
      <c r="L473" s="363"/>
      <c r="M473" s="737"/>
      <c r="N473" s="332"/>
      <c r="O473" s="332"/>
      <c r="P473" s="332"/>
      <c r="Q473" s="332"/>
      <c r="R473" s="332"/>
      <c r="S473" s="332"/>
      <c r="T473" s="332"/>
    </row>
    <row r="474" spans="1:20" x14ac:dyDescent="0.6">
      <c r="A474" s="334"/>
      <c r="B474" s="610"/>
      <c r="C474" s="365"/>
      <c r="D474" s="364"/>
      <c r="E474" s="363"/>
      <c r="F474" s="363"/>
      <c r="G474" s="364"/>
      <c r="H474" s="363"/>
      <c r="I474" s="363"/>
      <c r="J474" s="364"/>
      <c r="K474" s="363"/>
      <c r="L474" s="363"/>
      <c r="M474" s="737"/>
      <c r="N474" s="332"/>
      <c r="O474" s="332"/>
      <c r="P474" s="332"/>
      <c r="Q474" s="332"/>
      <c r="R474" s="332"/>
      <c r="S474" s="332"/>
      <c r="T474" s="332"/>
    </row>
    <row r="475" spans="1:20" x14ac:dyDescent="0.6">
      <c r="A475" s="334"/>
      <c r="B475" s="610"/>
      <c r="C475" s="365"/>
      <c r="D475" s="364"/>
      <c r="E475" s="363"/>
      <c r="F475" s="363"/>
      <c r="G475" s="364"/>
      <c r="H475" s="363"/>
      <c r="I475" s="363"/>
      <c r="J475" s="364"/>
      <c r="K475" s="363"/>
      <c r="L475" s="363"/>
      <c r="M475" s="737"/>
      <c r="N475" s="332"/>
      <c r="O475" s="332"/>
      <c r="P475" s="332"/>
      <c r="Q475" s="332"/>
      <c r="R475" s="332"/>
      <c r="S475" s="332"/>
      <c r="T475" s="332"/>
    </row>
    <row r="476" spans="1:20" x14ac:dyDescent="0.6">
      <c r="A476" s="334"/>
      <c r="B476" s="610"/>
      <c r="C476" s="365"/>
      <c r="D476" s="364"/>
      <c r="E476" s="363"/>
      <c r="F476" s="363"/>
      <c r="G476" s="364"/>
      <c r="H476" s="363"/>
      <c r="I476" s="363"/>
      <c r="J476" s="364"/>
      <c r="K476" s="363"/>
      <c r="L476" s="363"/>
      <c r="M476" s="737"/>
      <c r="N476" s="332"/>
      <c r="O476" s="332"/>
      <c r="P476" s="332"/>
      <c r="Q476" s="332"/>
      <c r="R476" s="332"/>
      <c r="S476" s="332"/>
      <c r="T476" s="332"/>
    </row>
    <row r="477" spans="1:20" x14ac:dyDescent="0.6">
      <c r="A477" s="334"/>
      <c r="B477" s="610"/>
      <c r="C477" s="365"/>
      <c r="D477" s="364"/>
      <c r="E477" s="363"/>
      <c r="F477" s="363"/>
      <c r="G477" s="364"/>
      <c r="H477" s="363"/>
      <c r="I477" s="363"/>
      <c r="J477" s="364"/>
      <c r="K477" s="363"/>
      <c r="L477" s="363"/>
      <c r="M477" s="737"/>
      <c r="N477" s="332"/>
      <c r="O477" s="332"/>
      <c r="P477" s="332"/>
      <c r="Q477" s="332"/>
      <c r="R477" s="332"/>
      <c r="S477" s="332"/>
      <c r="T477" s="332"/>
    </row>
    <row r="478" spans="1:20" x14ac:dyDescent="0.6">
      <c r="A478" s="334"/>
      <c r="B478" s="610"/>
      <c r="C478" s="365"/>
      <c r="D478" s="364"/>
      <c r="E478" s="363"/>
      <c r="F478" s="363"/>
      <c r="G478" s="364"/>
      <c r="H478" s="363"/>
      <c r="I478" s="363"/>
      <c r="J478" s="364"/>
      <c r="K478" s="363"/>
      <c r="L478" s="363"/>
      <c r="M478" s="737"/>
      <c r="N478" s="332"/>
      <c r="O478" s="332"/>
      <c r="P478" s="332"/>
      <c r="Q478" s="332"/>
      <c r="R478" s="332"/>
      <c r="S478" s="332"/>
      <c r="T478" s="332"/>
    </row>
    <row r="479" spans="1:20" x14ac:dyDescent="0.6">
      <c r="A479" s="334"/>
      <c r="B479" s="610"/>
      <c r="C479" s="365"/>
      <c r="D479" s="364"/>
      <c r="E479" s="363"/>
      <c r="F479" s="363"/>
      <c r="G479" s="364"/>
      <c r="H479" s="363"/>
      <c r="I479" s="363"/>
      <c r="J479" s="364"/>
      <c r="K479" s="363"/>
      <c r="L479" s="363"/>
      <c r="M479" s="737"/>
      <c r="N479" s="332"/>
      <c r="O479" s="332"/>
      <c r="P479" s="332"/>
      <c r="Q479" s="332"/>
      <c r="R479" s="332"/>
      <c r="S479" s="332"/>
      <c r="T479" s="332"/>
    </row>
    <row r="480" spans="1:20" x14ac:dyDescent="0.6">
      <c r="A480" s="334"/>
      <c r="B480" s="610"/>
      <c r="C480" s="365"/>
      <c r="D480" s="364"/>
      <c r="E480" s="363"/>
      <c r="F480" s="363"/>
      <c r="G480" s="364"/>
      <c r="H480" s="363"/>
      <c r="I480" s="363"/>
      <c r="J480" s="364"/>
      <c r="K480" s="363"/>
      <c r="L480" s="363"/>
      <c r="M480" s="737"/>
      <c r="N480" s="332"/>
      <c r="O480" s="332"/>
      <c r="P480" s="332"/>
      <c r="Q480" s="332"/>
      <c r="R480" s="332"/>
      <c r="S480" s="332"/>
      <c r="T480" s="332"/>
    </row>
    <row r="481" spans="1:20" x14ac:dyDescent="0.6">
      <c r="A481" s="334"/>
      <c r="B481" s="610"/>
      <c r="C481" s="365"/>
      <c r="D481" s="364"/>
      <c r="E481" s="363"/>
      <c r="F481" s="363"/>
      <c r="G481" s="364"/>
      <c r="H481" s="363"/>
      <c r="I481" s="363"/>
      <c r="J481" s="364"/>
      <c r="K481" s="363"/>
      <c r="L481" s="363"/>
      <c r="M481" s="737"/>
      <c r="N481" s="332"/>
      <c r="O481" s="332"/>
      <c r="P481" s="332"/>
      <c r="Q481" s="332"/>
      <c r="R481" s="332"/>
      <c r="S481" s="332"/>
      <c r="T481" s="332"/>
    </row>
    <row r="482" spans="1:20" x14ac:dyDescent="0.6">
      <c r="A482" s="334"/>
      <c r="B482" s="610"/>
      <c r="C482" s="365"/>
      <c r="D482" s="364"/>
      <c r="E482" s="363"/>
      <c r="F482" s="363"/>
      <c r="G482" s="364"/>
      <c r="H482" s="363"/>
      <c r="I482" s="363"/>
      <c r="J482" s="364"/>
      <c r="K482" s="363"/>
      <c r="L482" s="363"/>
      <c r="M482" s="737"/>
      <c r="N482" s="332"/>
      <c r="O482" s="332"/>
      <c r="P482" s="332"/>
      <c r="Q482" s="332"/>
      <c r="R482" s="332"/>
      <c r="S482" s="332"/>
      <c r="T482" s="332"/>
    </row>
    <row r="483" spans="1:20" x14ac:dyDescent="0.6">
      <c r="A483" s="334"/>
      <c r="B483" s="610"/>
      <c r="C483" s="365"/>
      <c r="D483" s="364"/>
      <c r="E483" s="363"/>
      <c r="F483" s="363"/>
      <c r="G483" s="364"/>
      <c r="H483" s="363"/>
      <c r="I483" s="363"/>
      <c r="J483" s="364"/>
      <c r="K483" s="363"/>
      <c r="L483" s="363"/>
      <c r="M483" s="737"/>
      <c r="N483" s="332"/>
      <c r="O483" s="332"/>
      <c r="P483" s="332"/>
      <c r="Q483" s="332"/>
      <c r="R483" s="332"/>
      <c r="S483" s="332"/>
      <c r="T483" s="332"/>
    </row>
    <row r="484" spans="1:20" x14ac:dyDescent="0.6">
      <c r="A484" s="334"/>
      <c r="B484" s="610"/>
      <c r="C484" s="365"/>
      <c r="D484" s="364"/>
      <c r="E484" s="363"/>
      <c r="F484" s="363"/>
      <c r="G484" s="364"/>
      <c r="H484" s="363"/>
      <c r="I484" s="363"/>
      <c r="J484" s="364"/>
      <c r="K484" s="363"/>
      <c r="L484" s="363"/>
      <c r="M484" s="737"/>
      <c r="N484" s="332"/>
      <c r="O484" s="332"/>
      <c r="P484" s="332"/>
      <c r="Q484" s="332"/>
      <c r="R484" s="332"/>
      <c r="S484" s="332"/>
      <c r="T484" s="332"/>
    </row>
    <row r="485" spans="1:20" x14ac:dyDescent="0.6">
      <c r="A485" s="334"/>
      <c r="B485" s="610"/>
      <c r="C485" s="365"/>
      <c r="D485" s="364"/>
      <c r="E485" s="363"/>
      <c r="F485" s="363"/>
      <c r="G485" s="364"/>
      <c r="H485" s="363"/>
      <c r="I485" s="363"/>
      <c r="J485" s="364"/>
      <c r="K485" s="363"/>
      <c r="L485" s="363"/>
      <c r="M485" s="737"/>
      <c r="N485" s="332"/>
      <c r="O485" s="332"/>
      <c r="P485" s="332"/>
      <c r="Q485" s="332"/>
      <c r="R485" s="332"/>
      <c r="S485" s="332"/>
      <c r="T485" s="332"/>
    </row>
    <row r="486" spans="1:20" x14ac:dyDescent="0.6">
      <c r="A486" s="334"/>
      <c r="B486" s="610"/>
      <c r="C486" s="365"/>
      <c r="D486" s="364"/>
      <c r="E486" s="363"/>
      <c r="F486" s="363"/>
      <c r="G486" s="364"/>
      <c r="H486" s="363"/>
      <c r="I486" s="363"/>
      <c r="J486" s="364"/>
      <c r="K486" s="363"/>
      <c r="L486" s="363"/>
      <c r="M486" s="737"/>
      <c r="N486" s="332"/>
      <c r="O486" s="332"/>
      <c r="P486" s="332"/>
      <c r="Q486" s="332"/>
      <c r="R486" s="332"/>
      <c r="S486" s="332"/>
      <c r="T486" s="332"/>
    </row>
    <row r="487" spans="1:20" x14ac:dyDescent="0.6">
      <c r="A487" s="334"/>
      <c r="B487" s="610"/>
      <c r="C487" s="365"/>
      <c r="D487" s="364"/>
      <c r="E487" s="363"/>
      <c r="F487" s="363"/>
      <c r="G487" s="364"/>
      <c r="H487" s="363"/>
      <c r="I487" s="363"/>
      <c r="J487" s="364"/>
      <c r="K487" s="363"/>
      <c r="L487" s="363"/>
      <c r="M487" s="737"/>
      <c r="N487" s="332"/>
      <c r="O487" s="332"/>
      <c r="P487" s="332"/>
      <c r="Q487" s="332"/>
      <c r="R487" s="332"/>
      <c r="S487" s="332"/>
      <c r="T487" s="332"/>
    </row>
    <row r="488" spans="1:20" x14ac:dyDescent="0.6">
      <c r="A488" s="334"/>
      <c r="B488" s="610"/>
      <c r="C488" s="365"/>
      <c r="D488" s="364"/>
      <c r="E488" s="363"/>
      <c r="F488" s="363"/>
      <c r="G488" s="364"/>
      <c r="H488" s="363"/>
      <c r="I488" s="363"/>
      <c r="J488" s="364"/>
      <c r="K488" s="363"/>
      <c r="L488" s="363"/>
      <c r="M488" s="737"/>
      <c r="N488" s="332"/>
      <c r="O488" s="332"/>
      <c r="P488" s="332"/>
      <c r="Q488" s="332"/>
      <c r="R488" s="332"/>
      <c r="S488" s="332"/>
      <c r="T488" s="332"/>
    </row>
    <row r="489" spans="1:20" x14ac:dyDescent="0.6">
      <c r="A489" s="334"/>
      <c r="B489" s="610"/>
      <c r="C489" s="365"/>
      <c r="D489" s="364"/>
      <c r="E489" s="363"/>
      <c r="F489" s="363"/>
      <c r="G489" s="364"/>
      <c r="H489" s="363"/>
      <c r="I489" s="363"/>
      <c r="J489" s="364"/>
      <c r="K489" s="363"/>
      <c r="L489" s="363"/>
      <c r="M489" s="737"/>
      <c r="N489" s="332"/>
      <c r="O489" s="332"/>
      <c r="P489" s="332"/>
      <c r="Q489" s="332"/>
      <c r="R489" s="332"/>
      <c r="S489" s="332"/>
      <c r="T489" s="332"/>
    </row>
    <row r="490" spans="1:20" x14ac:dyDescent="0.6">
      <c r="A490" s="334"/>
      <c r="B490" s="610"/>
      <c r="C490" s="365"/>
      <c r="D490" s="364"/>
      <c r="E490" s="363"/>
      <c r="F490" s="363"/>
      <c r="G490" s="364"/>
      <c r="H490" s="363"/>
      <c r="I490" s="363"/>
      <c r="J490" s="364"/>
      <c r="K490" s="363"/>
      <c r="L490" s="363"/>
      <c r="M490" s="737"/>
      <c r="N490" s="332"/>
      <c r="O490" s="332"/>
      <c r="P490" s="332"/>
      <c r="Q490" s="332"/>
      <c r="R490" s="332"/>
      <c r="S490" s="332"/>
      <c r="T490" s="332"/>
    </row>
    <row r="491" spans="1:20" x14ac:dyDescent="0.6">
      <c r="A491" s="334"/>
      <c r="B491" s="610"/>
      <c r="C491" s="365"/>
      <c r="D491" s="364"/>
      <c r="E491" s="363"/>
      <c r="F491" s="363"/>
      <c r="G491" s="364"/>
      <c r="H491" s="363"/>
      <c r="I491" s="363"/>
      <c r="J491" s="364"/>
      <c r="K491" s="363"/>
      <c r="L491" s="363"/>
      <c r="M491" s="737"/>
      <c r="N491" s="332"/>
      <c r="O491" s="332"/>
      <c r="P491" s="332"/>
      <c r="Q491" s="332"/>
      <c r="R491" s="332"/>
      <c r="S491" s="332"/>
      <c r="T491" s="332"/>
    </row>
    <row r="492" spans="1:20" x14ac:dyDescent="0.6">
      <c r="A492" s="334"/>
      <c r="B492" s="610"/>
      <c r="C492" s="365"/>
      <c r="D492" s="364"/>
      <c r="E492" s="363"/>
      <c r="F492" s="363"/>
      <c r="G492" s="364"/>
      <c r="H492" s="363"/>
      <c r="I492" s="363"/>
      <c r="J492" s="364"/>
      <c r="K492" s="363"/>
      <c r="L492" s="363"/>
      <c r="M492" s="737"/>
      <c r="N492" s="332"/>
      <c r="O492" s="332"/>
      <c r="P492" s="332"/>
      <c r="Q492" s="332"/>
      <c r="R492" s="332"/>
      <c r="S492" s="332"/>
      <c r="T492" s="332"/>
    </row>
    <row r="493" spans="1:20" x14ac:dyDescent="0.6">
      <c r="A493" s="334"/>
      <c r="B493" s="610"/>
      <c r="C493" s="365"/>
      <c r="D493" s="364"/>
      <c r="E493" s="363"/>
      <c r="F493" s="363"/>
      <c r="G493" s="364"/>
      <c r="H493" s="363"/>
      <c r="I493" s="363"/>
      <c r="J493" s="364"/>
      <c r="K493" s="363"/>
      <c r="L493" s="363"/>
      <c r="M493" s="737"/>
      <c r="N493" s="332"/>
      <c r="O493" s="332"/>
      <c r="P493" s="332"/>
      <c r="Q493" s="332"/>
      <c r="R493" s="332"/>
      <c r="S493" s="332"/>
      <c r="T493" s="332"/>
    </row>
    <row r="494" spans="1:20" x14ac:dyDescent="0.6">
      <c r="A494" s="334"/>
      <c r="B494" s="610"/>
      <c r="C494" s="365"/>
      <c r="D494" s="364"/>
      <c r="E494" s="363"/>
      <c r="F494" s="363"/>
      <c r="G494" s="364"/>
      <c r="H494" s="363"/>
      <c r="I494" s="363"/>
      <c r="J494" s="364"/>
      <c r="K494" s="363"/>
      <c r="L494" s="363"/>
      <c r="M494" s="737"/>
      <c r="N494" s="332"/>
      <c r="O494" s="332"/>
      <c r="P494" s="332"/>
      <c r="Q494" s="332"/>
      <c r="R494" s="332"/>
      <c r="S494" s="332"/>
      <c r="T494" s="332"/>
    </row>
    <row r="495" spans="1:20" x14ac:dyDescent="0.6">
      <c r="A495" s="334"/>
      <c r="B495" s="610"/>
      <c r="C495" s="365"/>
      <c r="D495" s="364"/>
      <c r="E495" s="363"/>
      <c r="F495" s="363"/>
      <c r="G495" s="364"/>
      <c r="H495" s="363"/>
      <c r="I495" s="363"/>
      <c r="J495" s="364"/>
      <c r="K495" s="363"/>
      <c r="L495" s="363"/>
      <c r="M495" s="737"/>
      <c r="N495" s="332"/>
      <c r="O495" s="332"/>
      <c r="P495" s="332"/>
      <c r="Q495" s="332"/>
      <c r="R495" s="332"/>
      <c r="S495" s="332"/>
      <c r="T495" s="332"/>
    </row>
    <row r="496" spans="1:20" x14ac:dyDescent="0.6">
      <c r="A496" s="334"/>
      <c r="B496" s="610"/>
      <c r="C496" s="365"/>
      <c r="D496" s="364"/>
      <c r="E496" s="363"/>
      <c r="F496" s="363"/>
      <c r="G496" s="364"/>
      <c r="H496" s="363"/>
      <c r="I496" s="363"/>
      <c r="J496" s="364"/>
      <c r="K496" s="363"/>
      <c r="L496" s="363"/>
      <c r="M496" s="737"/>
      <c r="N496" s="332"/>
      <c r="O496" s="332"/>
      <c r="P496" s="332"/>
      <c r="Q496" s="332"/>
      <c r="R496" s="332"/>
      <c r="S496" s="332"/>
      <c r="T496" s="332"/>
    </row>
    <row r="497" spans="1:20" x14ac:dyDescent="0.6">
      <c r="A497" s="334"/>
      <c r="B497" s="610"/>
      <c r="C497" s="365"/>
      <c r="D497" s="364"/>
      <c r="E497" s="363"/>
      <c r="F497" s="363"/>
      <c r="G497" s="364"/>
      <c r="H497" s="363"/>
      <c r="I497" s="363"/>
      <c r="J497" s="364"/>
      <c r="K497" s="363"/>
      <c r="L497" s="363"/>
      <c r="M497" s="737"/>
      <c r="N497" s="332"/>
      <c r="O497" s="332"/>
      <c r="P497" s="332"/>
      <c r="Q497" s="332"/>
      <c r="R497" s="332"/>
      <c r="S497" s="332"/>
      <c r="T497" s="332"/>
    </row>
    <row r="498" spans="1:20" x14ac:dyDescent="0.6">
      <c r="A498" s="334"/>
      <c r="B498" s="610"/>
      <c r="C498" s="365"/>
      <c r="D498" s="364"/>
      <c r="E498" s="363"/>
      <c r="F498" s="363"/>
      <c r="G498" s="364"/>
      <c r="H498" s="363"/>
      <c r="I498" s="363"/>
      <c r="J498" s="364"/>
      <c r="K498" s="363"/>
      <c r="L498" s="363"/>
      <c r="M498" s="737"/>
      <c r="N498" s="332"/>
      <c r="O498" s="332"/>
      <c r="P498" s="332"/>
      <c r="Q498" s="332"/>
      <c r="R498" s="332"/>
      <c r="S498" s="332"/>
      <c r="T498" s="332"/>
    </row>
    <row r="499" spans="1:20" x14ac:dyDescent="0.6">
      <c r="A499" s="334"/>
      <c r="B499" s="610"/>
      <c r="C499" s="365"/>
      <c r="D499" s="364"/>
      <c r="E499" s="363"/>
      <c r="F499" s="363"/>
      <c r="G499" s="364"/>
      <c r="H499" s="363"/>
      <c r="I499" s="363"/>
      <c r="J499" s="364"/>
      <c r="K499" s="363"/>
      <c r="L499" s="363"/>
      <c r="M499" s="737"/>
      <c r="N499" s="332"/>
      <c r="O499" s="332"/>
      <c r="P499" s="332"/>
      <c r="Q499" s="332"/>
      <c r="R499" s="332"/>
      <c r="S499" s="332"/>
      <c r="T499" s="332"/>
    </row>
    <row r="500" spans="1:20" x14ac:dyDescent="0.6">
      <c r="A500" s="334"/>
      <c r="B500" s="610"/>
      <c r="C500" s="365"/>
      <c r="D500" s="364"/>
      <c r="E500" s="363"/>
      <c r="F500" s="363"/>
      <c r="G500" s="364"/>
      <c r="H500" s="363"/>
      <c r="I500" s="363"/>
      <c r="J500" s="364"/>
      <c r="K500" s="363"/>
      <c r="L500" s="363"/>
      <c r="M500" s="737"/>
      <c r="N500" s="332"/>
      <c r="O500" s="332"/>
      <c r="P500" s="332"/>
      <c r="Q500" s="332"/>
      <c r="R500" s="332"/>
      <c r="S500" s="332"/>
      <c r="T500" s="332"/>
    </row>
    <row r="501" spans="1:20" x14ac:dyDescent="0.6">
      <c r="A501" s="334"/>
      <c r="B501" s="610"/>
      <c r="C501" s="365"/>
      <c r="D501" s="364"/>
      <c r="E501" s="363"/>
      <c r="F501" s="363"/>
      <c r="G501" s="364"/>
      <c r="H501" s="363"/>
      <c r="I501" s="363"/>
      <c r="J501" s="364"/>
      <c r="K501" s="363"/>
      <c r="L501" s="363"/>
      <c r="M501" s="737"/>
      <c r="N501" s="332"/>
      <c r="O501" s="332"/>
      <c r="P501" s="332"/>
      <c r="Q501" s="332"/>
      <c r="R501" s="332"/>
      <c r="S501" s="332"/>
      <c r="T501" s="332"/>
    </row>
    <row r="502" spans="1:20" x14ac:dyDescent="0.6">
      <c r="A502" s="334"/>
      <c r="B502" s="610"/>
      <c r="C502" s="365"/>
      <c r="D502" s="364"/>
      <c r="E502" s="363"/>
      <c r="F502" s="363"/>
      <c r="G502" s="364"/>
      <c r="H502" s="363"/>
      <c r="I502" s="363"/>
      <c r="J502" s="364"/>
      <c r="K502" s="363"/>
      <c r="L502" s="363"/>
      <c r="M502" s="737"/>
      <c r="N502" s="332"/>
      <c r="O502" s="332"/>
      <c r="P502" s="332"/>
      <c r="Q502" s="332"/>
      <c r="R502" s="332"/>
      <c r="S502" s="332"/>
      <c r="T502" s="332"/>
    </row>
    <row r="503" spans="1:20" x14ac:dyDescent="0.6">
      <c r="A503" s="334"/>
      <c r="B503" s="610"/>
      <c r="C503" s="365"/>
      <c r="D503" s="364"/>
      <c r="E503" s="363"/>
      <c r="F503" s="363"/>
      <c r="G503" s="364"/>
      <c r="H503" s="363"/>
      <c r="I503" s="363"/>
      <c r="J503" s="364"/>
      <c r="K503" s="363"/>
      <c r="L503" s="363"/>
      <c r="M503" s="737"/>
      <c r="N503" s="332"/>
      <c r="O503" s="332"/>
      <c r="P503" s="332"/>
      <c r="Q503" s="332"/>
      <c r="R503" s="332"/>
      <c r="S503" s="332"/>
      <c r="T503" s="332"/>
    </row>
    <row r="504" spans="1:20" x14ac:dyDescent="0.6">
      <c r="A504" s="334"/>
      <c r="B504" s="610"/>
      <c r="C504" s="365"/>
      <c r="D504" s="364"/>
      <c r="E504" s="363"/>
      <c r="F504" s="363"/>
      <c r="G504" s="364"/>
      <c r="H504" s="363"/>
      <c r="I504" s="363"/>
      <c r="J504" s="364"/>
      <c r="K504" s="363"/>
      <c r="L504" s="363"/>
      <c r="M504" s="737"/>
      <c r="N504" s="332"/>
      <c r="O504" s="332"/>
      <c r="P504" s="332"/>
      <c r="Q504" s="332"/>
      <c r="R504" s="332"/>
      <c r="S504" s="332"/>
      <c r="T504" s="332"/>
    </row>
    <row r="505" spans="1:20" x14ac:dyDescent="0.6">
      <c r="A505" s="334"/>
      <c r="B505" s="610"/>
      <c r="C505" s="365"/>
      <c r="D505" s="364"/>
      <c r="E505" s="363"/>
      <c r="F505" s="363"/>
      <c r="G505" s="364"/>
      <c r="H505" s="363"/>
      <c r="I505" s="363"/>
      <c r="J505" s="364"/>
      <c r="K505" s="363"/>
      <c r="L505" s="363"/>
      <c r="M505" s="737"/>
      <c r="N505" s="332"/>
      <c r="O505" s="332"/>
      <c r="P505" s="332"/>
      <c r="Q505" s="332"/>
      <c r="R505" s="332"/>
      <c r="S505" s="332"/>
      <c r="T505" s="332"/>
    </row>
    <row r="506" spans="1:20" x14ac:dyDescent="0.6">
      <c r="A506" s="334"/>
      <c r="B506" s="610"/>
      <c r="C506" s="365"/>
      <c r="D506" s="364"/>
      <c r="E506" s="363"/>
      <c r="F506" s="363"/>
      <c r="G506" s="364"/>
      <c r="H506" s="363"/>
      <c r="I506" s="363"/>
      <c r="J506" s="364"/>
      <c r="K506" s="363"/>
      <c r="L506" s="363"/>
      <c r="M506" s="737"/>
      <c r="N506" s="332"/>
      <c r="O506" s="332"/>
      <c r="P506" s="332"/>
      <c r="Q506" s="332"/>
      <c r="R506" s="332"/>
      <c r="S506" s="332"/>
      <c r="T506" s="332"/>
    </row>
    <row r="507" spans="1:20" x14ac:dyDescent="0.6">
      <c r="A507" s="334"/>
      <c r="B507" s="610"/>
      <c r="C507" s="365"/>
      <c r="D507" s="364"/>
      <c r="E507" s="363"/>
      <c r="F507" s="363"/>
      <c r="G507" s="364"/>
      <c r="H507" s="363"/>
      <c r="I507" s="363"/>
      <c r="J507" s="364"/>
      <c r="K507" s="363"/>
      <c r="L507" s="363"/>
      <c r="M507" s="737"/>
      <c r="N507" s="332"/>
      <c r="O507" s="332"/>
      <c r="P507" s="332"/>
      <c r="Q507" s="332"/>
      <c r="R507" s="332"/>
      <c r="S507" s="332"/>
      <c r="T507" s="332"/>
    </row>
    <row r="508" spans="1:20" x14ac:dyDescent="0.6">
      <c r="A508" s="334"/>
      <c r="B508" s="610"/>
      <c r="C508" s="365"/>
      <c r="D508" s="364"/>
      <c r="E508" s="363"/>
      <c r="F508" s="363"/>
      <c r="G508" s="364"/>
      <c r="H508" s="363"/>
      <c r="I508" s="363"/>
      <c r="J508" s="364"/>
      <c r="K508" s="363"/>
      <c r="L508" s="363"/>
      <c r="M508" s="737"/>
      <c r="N508" s="332"/>
      <c r="O508" s="332"/>
      <c r="P508" s="332"/>
      <c r="Q508" s="332"/>
      <c r="R508" s="332"/>
      <c r="S508" s="332"/>
      <c r="T508" s="332"/>
    </row>
    <row r="509" spans="1:20" x14ac:dyDescent="0.6">
      <c r="A509" s="334"/>
      <c r="B509" s="610"/>
      <c r="C509" s="365"/>
      <c r="D509" s="364"/>
      <c r="E509" s="363"/>
      <c r="F509" s="363"/>
      <c r="G509" s="364"/>
      <c r="H509" s="363"/>
      <c r="I509" s="363"/>
      <c r="J509" s="364"/>
      <c r="K509" s="363"/>
      <c r="L509" s="363"/>
      <c r="M509" s="737"/>
      <c r="N509" s="332"/>
      <c r="O509" s="332"/>
      <c r="P509" s="332"/>
      <c r="Q509" s="332"/>
      <c r="R509" s="332"/>
      <c r="S509" s="332"/>
      <c r="T509" s="332"/>
    </row>
    <row r="510" spans="1:20" x14ac:dyDescent="0.6">
      <c r="A510" s="334"/>
      <c r="B510" s="610"/>
      <c r="C510" s="365"/>
      <c r="D510" s="364"/>
      <c r="E510" s="363"/>
      <c r="F510" s="363"/>
      <c r="G510" s="364"/>
      <c r="H510" s="363"/>
      <c r="I510" s="363"/>
      <c r="J510" s="364"/>
      <c r="K510" s="363"/>
      <c r="L510" s="363"/>
      <c r="M510" s="737"/>
      <c r="N510" s="332"/>
      <c r="O510" s="332"/>
      <c r="P510" s="332"/>
      <c r="Q510" s="332"/>
      <c r="R510" s="332"/>
      <c r="S510" s="332"/>
      <c r="T510" s="332"/>
    </row>
    <row r="511" spans="1:20" x14ac:dyDescent="0.6">
      <c r="A511" s="334"/>
      <c r="B511" s="610"/>
      <c r="C511" s="365"/>
      <c r="D511" s="364"/>
      <c r="E511" s="363"/>
      <c r="F511" s="363"/>
      <c r="G511" s="364"/>
      <c r="H511" s="363"/>
      <c r="I511" s="363"/>
      <c r="J511" s="364"/>
      <c r="K511" s="363"/>
      <c r="L511" s="363"/>
      <c r="M511" s="737"/>
      <c r="N511" s="332"/>
      <c r="O511" s="332"/>
      <c r="P511" s="332"/>
      <c r="Q511" s="332"/>
      <c r="R511" s="332"/>
      <c r="S511" s="332"/>
      <c r="T511" s="332"/>
    </row>
    <row r="512" spans="1:20" x14ac:dyDescent="0.6">
      <c r="A512" s="334"/>
      <c r="B512" s="610"/>
      <c r="C512" s="365"/>
      <c r="D512" s="364"/>
      <c r="E512" s="363"/>
      <c r="F512" s="363"/>
      <c r="G512" s="364"/>
      <c r="H512" s="363"/>
      <c r="I512" s="363"/>
      <c r="J512" s="364"/>
      <c r="K512" s="363"/>
      <c r="L512" s="363"/>
      <c r="M512" s="737"/>
      <c r="N512" s="332"/>
      <c r="O512" s="332"/>
      <c r="P512" s="332"/>
      <c r="Q512" s="332"/>
      <c r="R512" s="332"/>
      <c r="S512" s="332"/>
      <c r="T512" s="332"/>
    </row>
    <row r="513" spans="1:20" x14ac:dyDescent="0.6">
      <c r="A513" s="334"/>
      <c r="B513" s="610"/>
      <c r="C513" s="365"/>
      <c r="D513" s="364"/>
      <c r="E513" s="363"/>
      <c r="F513" s="363"/>
      <c r="G513" s="364"/>
      <c r="H513" s="363"/>
      <c r="I513" s="363"/>
      <c r="J513" s="364"/>
      <c r="K513" s="363"/>
      <c r="L513" s="363"/>
      <c r="M513" s="737"/>
      <c r="N513" s="332"/>
      <c r="O513" s="332"/>
      <c r="P513" s="332"/>
      <c r="Q513" s="332"/>
      <c r="R513" s="332"/>
      <c r="S513" s="332"/>
      <c r="T513" s="332"/>
    </row>
    <row r="514" spans="1:20" x14ac:dyDescent="0.6">
      <c r="A514" s="334"/>
      <c r="B514" s="610"/>
      <c r="C514" s="365"/>
      <c r="D514" s="364"/>
      <c r="E514" s="363"/>
      <c r="F514" s="363"/>
      <c r="G514" s="364"/>
      <c r="H514" s="363"/>
      <c r="I514" s="363"/>
      <c r="J514" s="364"/>
      <c r="K514" s="363"/>
      <c r="L514" s="363"/>
      <c r="M514" s="737"/>
      <c r="N514" s="332"/>
      <c r="O514" s="332"/>
      <c r="P514" s="332"/>
      <c r="Q514" s="332"/>
      <c r="R514" s="332"/>
      <c r="S514" s="332"/>
      <c r="T514" s="332"/>
    </row>
    <row r="515" spans="1:20" x14ac:dyDescent="0.6">
      <c r="A515" s="334"/>
      <c r="B515" s="610"/>
      <c r="C515" s="365"/>
      <c r="D515" s="364"/>
      <c r="E515" s="363"/>
      <c r="F515" s="363"/>
      <c r="G515" s="364"/>
      <c r="H515" s="363"/>
      <c r="I515" s="363"/>
      <c r="J515" s="364"/>
      <c r="K515" s="363"/>
      <c r="L515" s="363"/>
      <c r="M515" s="737"/>
      <c r="N515" s="332"/>
      <c r="O515" s="332"/>
      <c r="P515" s="332"/>
      <c r="Q515" s="332"/>
      <c r="R515" s="332"/>
      <c r="S515" s="332"/>
      <c r="T515" s="332"/>
    </row>
    <row r="516" spans="1:20" x14ac:dyDescent="0.6">
      <c r="A516" s="334"/>
      <c r="B516" s="610"/>
      <c r="C516" s="365"/>
      <c r="D516" s="364"/>
      <c r="E516" s="363"/>
      <c r="F516" s="363"/>
      <c r="G516" s="364"/>
      <c r="H516" s="363"/>
      <c r="I516" s="363"/>
      <c r="J516" s="364"/>
      <c r="K516" s="363"/>
      <c r="L516" s="363"/>
      <c r="M516" s="737"/>
      <c r="N516" s="332"/>
      <c r="O516" s="332"/>
      <c r="P516" s="332"/>
      <c r="Q516" s="332"/>
      <c r="R516" s="332"/>
      <c r="S516" s="332"/>
      <c r="T516" s="332"/>
    </row>
    <row r="517" spans="1:20" x14ac:dyDescent="0.6">
      <c r="A517" s="334"/>
      <c r="B517" s="610"/>
      <c r="C517" s="365"/>
      <c r="D517" s="364"/>
      <c r="E517" s="363"/>
      <c r="F517" s="363"/>
      <c r="G517" s="364"/>
      <c r="H517" s="363"/>
      <c r="I517" s="363"/>
      <c r="J517" s="364"/>
      <c r="K517" s="363"/>
      <c r="L517" s="363"/>
      <c r="M517" s="737"/>
      <c r="N517" s="332"/>
      <c r="O517" s="332"/>
      <c r="P517" s="332"/>
      <c r="Q517" s="332"/>
      <c r="R517" s="332"/>
      <c r="S517" s="332"/>
      <c r="T517" s="332"/>
    </row>
    <row r="518" spans="1:20" x14ac:dyDescent="0.6">
      <c r="A518" s="334"/>
      <c r="B518" s="610"/>
      <c r="C518" s="365"/>
      <c r="D518" s="364"/>
      <c r="E518" s="363"/>
      <c r="F518" s="363"/>
      <c r="G518" s="364"/>
      <c r="H518" s="363"/>
      <c r="I518" s="363"/>
      <c r="J518" s="364"/>
      <c r="K518" s="363"/>
      <c r="L518" s="363"/>
      <c r="M518" s="737"/>
      <c r="N518" s="332"/>
      <c r="O518" s="332"/>
      <c r="P518" s="332"/>
      <c r="Q518" s="332"/>
      <c r="R518" s="332"/>
      <c r="S518" s="332"/>
      <c r="T518" s="332"/>
    </row>
    <row r="519" spans="1:20" x14ac:dyDescent="0.6">
      <c r="A519" s="334"/>
      <c r="B519" s="610"/>
      <c r="C519" s="365"/>
      <c r="D519" s="364"/>
      <c r="E519" s="363"/>
      <c r="F519" s="363"/>
      <c r="G519" s="364"/>
      <c r="H519" s="363"/>
      <c r="I519" s="363"/>
      <c r="J519" s="364"/>
      <c r="K519" s="363"/>
      <c r="L519" s="363"/>
      <c r="M519" s="737"/>
      <c r="N519" s="332"/>
      <c r="O519" s="332"/>
      <c r="P519" s="332"/>
      <c r="Q519" s="332"/>
      <c r="R519" s="332"/>
      <c r="S519" s="332"/>
      <c r="T519" s="332"/>
    </row>
    <row r="520" spans="1:20" x14ac:dyDescent="0.6">
      <c r="A520" s="334"/>
      <c r="B520" s="610"/>
      <c r="C520" s="365"/>
      <c r="D520" s="364"/>
      <c r="E520" s="363"/>
      <c r="F520" s="363"/>
      <c r="G520" s="364"/>
      <c r="H520" s="363"/>
      <c r="I520" s="363"/>
      <c r="J520" s="364"/>
      <c r="K520" s="363"/>
      <c r="L520" s="363"/>
      <c r="M520" s="737"/>
      <c r="N520" s="332"/>
      <c r="O520" s="332"/>
      <c r="P520" s="332"/>
      <c r="Q520" s="332"/>
      <c r="R520" s="332"/>
      <c r="S520" s="332"/>
      <c r="T520" s="332"/>
    </row>
    <row r="521" spans="1:20" x14ac:dyDescent="0.6">
      <c r="A521" s="334"/>
      <c r="B521" s="610"/>
      <c r="C521" s="365"/>
      <c r="D521" s="364"/>
      <c r="E521" s="363"/>
      <c r="F521" s="363"/>
      <c r="G521" s="364"/>
      <c r="H521" s="363"/>
      <c r="I521" s="363"/>
      <c r="J521" s="364"/>
      <c r="K521" s="363"/>
      <c r="L521" s="363"/>
      <c r="M521" s="737"/>
      <c r="N521" s="332"/>
      <c r="O521" s="332"/>
      <c r="P521" s="332"/>
      <c r="Q521" s="332"/>
      <c r="R521" s="332"/>
      <c r="S521" s="332"/>
      <c r="T521" s="332"/>
    </row>
    <row r="522" spans="1:20" x14ac:dyDescent="0.6">
      <c r="A522" s="334"/>
      <c r="B522" s="610"/>
      <c r="C522" s="365"/>
      <c r="D522" s="364"/>
      <c r="E522" s="363"/>
      <c r="F522" s="363"/>
      <c r="G522" s="364"/>
      <c r="H522" s="363"/>
      <c r="I522" s="363"/>
      <c r="J522" s="364"/>
      <c r="K522" s="363"/>
      <c r="L522" s="363"/>
      <c r="M522" s="737"/>
      <c r="N522" s="332"/>
      <c r="O522" s="332"/>
      <c r="P522" s="332"/>
      <c r="Q522" s="332"/>
      <c r="R522" s="332"/>
      <c r="S522" s="332"/>
      <c r="T522" s="332"/>
    </row>
    <row r="523" spans="1:20" x14ac:dyDescent="0.6">
      <c r="A523" s="334"/>
      <c r="B523" s="610"/>
      <c r="C523" s="365"/>
      <c r="D523" s="364"/>
      <c r="E523" s="363"/>
      <c r="F523" s="363"/>
      <c r="G523" s="364"/>
      <c r="H523" s="363"/>
      <c r="I523" s="363"/>
      <c r="J523" s="364"/>
      <c r="K523" s="363"/>
      <c r="L523" s="363"/>
      <c r="M523" s="737"/>
      <c r="N523" s="332"/>
      <c r="O523" s="332"/>
      <c r="P523" s="332"/>
      <c r="Q523" s="332"/>
      <c r="R523" s="332"/>
      <c r="S523" s="332"/>
      <c r="T523" s="332"/>
    </row>
    <row r="524" spans="1:20" x14ac:dyDescent="0.6">
      <c r="A524" s="334"/>
      <c r="B524" s="610"/>
      <c r="C524" s="365"/>
      <c r="D524" s="364"/>
      <c r="E524" s="363"/>
      <c r="F524" s="363"/>
      <c r="G524" s="364"/>
      <c r="H524" s="363"/>
      <c r="I524" s="363"/>
      <c r="J524" s="364"/>
      <c r="K524" s="363"/>
      <c r="L524" s="363"/>
      <c r="M524" s="737"/>
      <c r="N524" s="332"/>
      <c r="O524" s="332"/>
      <c r="P524" s="332"/>
      <c r="Q524" s="332"/>
      <c r="R524" s="332"/>
      <c r="S524" s="332"/>
      <c r="T524" s="332"/>
    </row>
    <row r="525" spans="1:20" x14ac:dyDescent="0.6">
      <c r="A525" s="334"/>
      <c r="B525" s="610"/>
      <c r="C525" s="365"/>
      <c r="D525" s="364"/>
      <c r="E525" s="363"/>
      <c r="F525" s="363"/>
      <c r="G525" s="364"/>
      <c r="H525" s="363"/>
      <c r="I525" s="363"/>
      <c r="J525" s="364"/>
      <c r="K525" s="363"/>
      <c r="L525" s="363"/>
      <c r="M525" s="737"/>
      <c r="N525" s="332"/>
      <c r="O525" s="332"/>
      <c r="P525" s="332"/>
      <c r="Q525" s="332"/>
      <c r="R525" s="332"/>
      <c r="S525" s="332"/>
      <c r="T525" s="332"/>
    </row>
    <row r="526" spans="1:20" x14ac:dyDescent="0.6">
      <c r="A526" s="334"/>
      <c r="B526" s="610"/>
      <c r="C526" s="365"/>
      <c r="D526" s="364"/>
      <c r="E526" s="363"/>
      <c r="F526" s="363"/>
      <c r="G526" s="364"/>
      <c r="H526" s="363"/>
      <c r="I526" s="363"/>
      <c r="J526" s="364"/>
      <c r="K526" s="363"/>
      <c r="L526" s="363"/>
      <c r="M526" s="737"/>
      <c r="N526" s="332"/>
      <c r="O526" s="332"/>
      <c r="P526" s="332"/>
      <c r="Q526" s="332"/>
      <c r="R526" s="332"/>
      <c r="S526" s="332"/>
      <c r="T526" s="332"/>
    </row>
    <row r="527" spans="1:20" x14ac:dyDescent="0.6">
      <c r="A527" s="334"/>
      <c r="B527" s="610"/>
      <c r="C527" s="365"/>
      <c r="D527" s="364"/>
      <c r="E527" s="363"/>
      <c r="F527" s="363"/>
      <c r="G527" s="364"/>
      <c r="H527" s="363"/>
      <c r="I527" s="363"/>
      <c r="J527" s="364"/>
      <c r="K527" s="363"/>
      <c r="L527" s="363"/>
      <c r="M527" s="737"/>
      <c r="N527" s="332"/>
      <c r="O527" s="332"/>
      <c r="P527" s="332"/>
      <c r="Q527" s="332"/>
      <c r="R527" s="332"/>
      <c r="S527" s="332"/>
      <c r="T527" s="332"/>
    </row>
    <row r="528" spans="1:20" x14ac:dyDescent="0.6">
      <c r="A528" s="334"/>
      <c r="B528" s="610"/>
      <c r="C528" s="365"/>
      <c r="D528" s="364"/>
      <c r="E528" s="363"/>
      <c r="F528" s="363"/>
      <c r="G528" s="364"/>
      <c r="H528" s="363"/>
      <c r="I528" s="363"/>
      <c r="J528" s="364"/>
      <c r="K528" s="363"/>
      <c r="L528" s="363"/>
      <c r="M528" s="737"/>
      <c r="N528" s="332"/>
      <c r="O528" s="332"/>
      <c r="P528" s="332"/>
      <c r="Q528" s="332"/>
      <c r="R528" s="332"/>
      <c r="S528" s="332"/>
      <c r="T528" s="332"/>
    </row>
    <row r="529" spans="1:20" x14ac:dyDescent="0.6">
      <c r="A529" s="334"/>
      <c r="B529" s="610"/>
      <c r="C529" s="365"/>
      <c r="D529" s="364"/>
      <c r="E529" s="363"/>
      <c r="F529" s="363"/>
      <c r="G529" s="364"/>
      <c r="H529" s="363"/>
      <c r="I529" s="363"/>
      <c r="J529" s="364"/>
      <c r="K529" s="363"/>
      <c r="L529" s="363"/>
      <c r="M529" s="737"/>
      <c r="N529" s="332"/>
      <c r="O529" s="332"/>
      <c r="P529" s="332"/>
      <c r="Q529" s="332"/>
      <c r="R529" s="332"/>
      <c r="S529" s="332"/>
      <c r="T529" s="332"/>
    </row>
    <row r="530" spans="1:20" x14ac:dyDescent="0.6">
      <c r="A530" s="334"/>
      <c r="B530" s="610"/>
      <c r="C530" s="365"/>
      <c r="D530" s="364"/>
      <c r="E530" s="363"/>
      <c r="F530" s="363"/>
      <c r="G530" s="364"/>
      <c r="H530" s="363"/>
      <c r="I530" s="363"/>
      <c r="J530" s="364"/>
      <c r="K530" s="363"/>
      <c r="L530" s="363"/>
      <c r="M530" s="737"/>
      <c r="N530" s="332"/>
      <c r="O530" s="332"/>
      <c r="P530" s="332"/>
      <c r="Q530" s="332"/>
      <c r="R530" s="332"/>
      <c r="S530" s="332"/>
      <c r="T530" s="332"/>
    </row>
    <row r="531" spans="1:20" x14ac:dyDescent="0.6">
      <c r="A531" s="334"/>
      <c r="B531" s="610"/>
      <c r="C531" s="365"/>
      <c r="D531" s="364"/>
      <c r="E531" s="363"/>
      <c r="F531" s="363"/>
      <c r="G531" s="364"/>
      <c r="H531" s="363"/>
      <c r="I531" s="363"/>
      <c r="J531" s="364"/>
      <c r="K531" s="363"/>
      <c r="L531" s="363"/>
      <c r="M531" s="737"/>
      <c r="N531" s="332"/>
      <c r="O531" s="332"/>
      <c r="P531" s="332"/>
      <c r="Q531" s="332"/>
      <c r="R531" s="332"/>
      <c r="S531" s="332"/>
      <c r="T531" s="332"/>
    </row>
    <row r="532" spans="1:20" x14ac:dyDescent="0.6">
      <c r="A532" s="334"/>
      <c r="B532" s="610"/>
      <c r="C532" s="365"/>
      <c r="D532" s="364"/>
      <c r="E532" s="363"/>
      <c r="F532" s="363"/>
      <c r="G532" s="364"/>
      <c r="H532" s="363"/>
      <c r="I532" s="363"/>
      <c r="J532" s="364"/>
      <c r="K532" s="363"/>
      <c r="L532" s="363"/>
      <c r="M532" s="737"/>
      <c r="N532" s="332"/>
      <c r="O532" s="332"/>
      <c r="P532" s="332"/>
      <c r="Q532" s="332"/>
      <c r="R532" s="332"/>
      <c r="S532" s="332"/>
      <c r="T532" s="332"/>
    </row>
    <row r="533" spans="1:20" x14ac:dyDescent="0.6">
      <c r="A533" s="334"/>
      <c r="B533" s="610"/>
      <c r="C533" s="365"/>
      <c r="D533" s="364"/>
      <c r="E533" s="363"/>
      <c r="F533" s="363"/>
      <c r="G533" s="364"/>
      <c r="H533" s="363"/>
      <c r="I533" s="363"/>
      <c r="J533" s="364"/>
      <c r="K533" s="363"/>
      <c r="L533" s="363"/>
      <c r="M533" s="737"/>
      <c r="N533" s="332"/>
      <c r="O533" s="332"/>
      <c r="P533" s="332"/>
      <c r="Q533" s="332"/>
      <c r="R533" s="332"/>
      <c r="S533" s="332"/>
      <c r="T533" s="332"/>
    </row>
    <row r="534" spans="1:20" x14ac:dyDescent="0.6">
      <c r="A534" s="334"/>
      <c r="B534" s="610"/>
      <c r="C534" s="365"/>
      <c r="D534" s="364"/>
      <c r="E534" s="363"/>
      <c r="F534" s="363"/>
      <c r="G534" s="364"/>
      <c r="H534" s="363"/>
      <c r="I534" s="363"/>
      <c r="J534" s="364"/>
      <c r="K534" s="363"/>
      <c r="L534" s="363"/>
      <c r="M534" s="737"/>
      <c r="N534" s="332"/>
      <c r="O534" s="332"/>
      <c r="P534" s="332"/>
      <c r="Q534" s="332"/>
      <c r="R534" s="332"/>
      <c r="S534" s="332"/>
      <c r="T534" s="332"/>
    </row>
    <row r="535" spans="1:20" x14ac:dyDescent="0.6">
      <c r="A535" s="334"/>
      <c r="B535" s="610"/>
      <c r="C535" s="365"/>
      <c r="D535" s="364"/>
      <c r="E535" s="363"/>
      <c r="F535" s="363"/>
      <c r="G535" s="364"/>
      <c r="H535" s="363"/>
      <c r="I535" s="363"/>
      <c r="J535" s="364"/>
      <c r="K535" s="363"/>
      <c r="L535" s="363"/>
      <c r="M535" s="737"/>
      <c r="N535" s="332"/>
      <c r="O535" s="332"/>
      <c r="P535" s="332"/>
      <c r="Q535" s="332"/>
      <c r="R535" s="332"/>
      <c r="S535" s="332"/>
      <c r="T535" s="332"/>
    </row>
    <row r="536" spans="1:20" x14ac:dyDescent="0.6">
      <c r="A536" s="334"/>
      <c r="B536" s="610"/>
      <c r="C536" s="365"/>
      <c r="D536" s="364"/>
      <c r="E536" s="363"/>
      <c r="F536" s="363"/>
      <c r="G536" s="364"/>
      <c r="H536" s="363"/>
      <c r="I536" s="363"/>
      <c r="J536" s="364"/>
      <c r="K536" s="363"/>
      <c r="L536" s="363"/>
      <c r="M536" s="737"/>
      <c r="N536" s="332"/>
      <c r="O536" s="332"/>
      <c r="P536" s="332"/>
      <c r="Q536" s="332"/>
      <c r="R536" s="332"/>
      <c r="S536" s="332"/>
      <c r="T536" s="332"/>
    </row>
    <row r="537" spans="1:20" x14ac:dyDescent="0.6">
      <c r="A537" s="334"/>
      <c r="B537" s="610"/>
      <c r="C537" s="365"/>
      <c r="D537" s="364"/>
      <c r="E537" s="363"/>
      <c r="F537" s="363"/>
      <c r="G537" s="364"/>
      <c r="H537" s="363"/>
      <c r="I537" s="363"/>
      <c r="J537" s="364"/>
      <c r="K537" s="363"/>
      <c r="L537" s="363"/>
      <c r="M537" s="737"/>
      <c r="N537" s="332"/>
      <c r="O537" s="332"/>
      <c r="P537" s="332"/>
      <c r="Q537" s="332"/>
      <c r="R537" s="332"/>
      <c r="S537" s="332"/>
      <c r="T537" s="332"/>
    </row>
    <row r="538" spans="1:20" x14ac:dyDescent="0.6">
      <c r="A538" s="334"/>
      <c r="B538" s="610"/>
      <c r="C538" s="365"/>
      <c r="D538" s="364"/>
      <c r="E538" s="363"/>
      <c r="F538" s="363"/>
      <c r="G538" s="364"/>
      <c r="H538" s="363"/>
      <c r="I538" s="363"/>
      <c r="J538" s="364"/>
      <c r="K538" s="363"/>
      <c r="L538" s="363"/>
      <c r="M538" s="737"/>
      <c r="N538" s="332"/>
      <c r="O538" s="332"/>
      <c r="P538" s="332"/>
      <c r="Q538" s="332"/>
      <c r="R538" s="332"/>
      <c r="S538" s="332"/>
      <c r="T538" s="332"/>
    </row>
    <row r="539" spans="1:20" x14ac:dyDescent="0.6">
      <c r="A539" s="334"/>
      <c r="B539" s="610"/>
      <c r="C539" s="365"/>
      <c r="D539" s="364"/>
      <c r="E539" s="363"/>
      <c r="F539" s="363"/>
      <c r="G539" s="364"/>
      <c r="H539" s="363"/>
      <c r="I539" s="363"/>
      <c r="J539" s="364"/>
      <c r="K539" s="363"/>
      <c r="L539" s="363"/>
      <c r="M539" s="737"/>
      <c r="N539" s="332"/>
      <c r="O539" s="332"/>
      <c r="P539" s="332"/>
      <c r="Q539" s="332"/>
      <c r="R539" s="332"/>
      <c r="S539" s="332"/>
      <c r="T539" s="332"/>
    </row>
    <row r="540" spans="1:20" x14ac:dyDescent="0.6">
      <c r="A540" s="334"/>
      <c r="B540" s="610"/>
      <c r="C540" s="365"/>
      <c r="D540" s="364"/>
      <c r="E540" s="363"/>
      <c r="F540" s="363"/>
      <c r="G540" s="364"/>
      <c r="H540" s="363"/>
      <c r="I540" s="363"/>
      <c r="J540" s="364"/>
      <c r="K540" s="363"/>
      <c r="L540" s="363"/>
      <c r="M540" s="737"/>
      <c r="N540" s="332"/>
      <c r="O540" s="332"/>
      <c r="P540" s="332"/>
      <c r="Q540" s="332"/>
      <c r="R540" s="332"/>
      <c r="S540" s="332"/>
      <c r="T540" s="332"/>
    </row>
    <row r="541" spans="1:20" x14ac:dyDescent="0.6">
      <c r="A541" s="334"/>
      <c r="B541" s="610"/>
      <c r="C541" s="365"/>
      <c r="D541" s="364"/>
      <c r="E541" s="363"/>
      <c r="F541" s="363"/>
      <c r="G541" s="364"/>
      <c r="H541" s="363"/>
      <c r="I541" s="363"/>
      <c r="J541" s="364"/>
      <c r="K541" s="363"/>
      <c r="L541" s="363"/>
      <c r="M541" s="737"/>
      <c r="N541" s="332"/>
      <c r="O541" s="332"/>
      <c r="P541" s="332"/>
      <c r="Q541" s="332"/>
      <c r="R541" s="332"/>
      <c r="S541" s="332"/>
      <c r="T541" s="332"/>
    </row>
    <row r="542" spans="1:20" x14ac:dyDescent="0.6">
      <c r="A542" s="334"/>
      <c r="B542" s="610"/>
      <c r="C542" s="365"/>
      <c r="D542" s="364"/>
      <c r="E542" s="363"/>
      <c r="F542" s="363"/>
      <c r="G542" s="364"/>
      <c r="H542" s="363"/>
      <c r="I542" s="363"/>
      <c r="J542" s="364"/>
      <c r="K542" s="363"/>
      <c r="L542" s="363"/>
      <c r="M542" s="737"/>
      <c r="N542" s="332"/>
      <c r="O542" s="332"/>
      <c r="P542" s="332"/>
      <c r="Q542" s="332"/>
      <c r="R542" s="332"/>
      <c r="S542" s="332"/>
      <c r="T542" s="332"/>
    </row>
    <row r="543" spans="1:20" x14ac:dyDescent="0.6">
      <c r="A543" s="334"/>
      <c r="B543" s="610"/>
      <c r="C543" s="365"/>
      <c r="D543" s="364"/>
      <c r="E543" s="363"/>
      <c r="F543" s="363"/>
      <c r="G543" s="364"/>
      <c r="H543" s="363"/>
      <c r="I543" s="363"/>
      <c r="J543" s="364"/>
      <c r="K543" s="363"/>
      <c r="L543" s="363"/>
      <c r="M543" s="737"/>
      <c r="N543" s="332"/>
      <c r="O543" s="332"/>
      <c r="P543" s="332"/>
      <c r="Q543" s="332"/>
      <c r="R543" s="332"/>
      <c r="S543" s="332"/>
      <c r="T543" s="332"/>
    </row>
    <row r="544" spans="1:20" x14ac:dyDescent="0.6">
      <c r="A544" s="334"/>
      <c r="B544" s="610"/>
      <c r="C544" s="365"/>
      <c r="D544" s="364"/>
      <c r="E544" s="363"/>
      <c r="F544" s="363"/>
      <c r="G544" s="364"/>
      <c r="H544" s="363"/>
      <c r="I544" s="363"/>
      <c r="J544" s="364"/>
      <c r="K544" s="363"/>
      <c r="L544" s="363"/>
      <c r="M544" s="737"/>
      <c r="N544" s="332"/>
      <c r="O544" s="332"/>
      <c r="P544" s="332"/>
      <c r="Q544" s="332"/>
      <c r="R544" s="332"/>
      <c r="S544" s="332"/>
      <c r="T544" s="332"/>
    </row>
    <row r="545" spans="1:20" x14ac:dyDescent="0.6">
      <c r="A545" s="334"/>
      <c r="B545" s="610"/>
      <c r="C545" s="365"/>
      <c r="D545" s="364"/>
      <c r="E545" s="363"/>
      <c r="F545" s="363"/>
      <c r="G545" s="364"/>
      <c r="H545" s="363"/>
      <c r="I545" s="363"/>
      <c r="J545" s="364"/>
      <c r="K545" s="363"/>
      <c r="L545" s="363"/>
      <c r="M545" s="737"/>
      <c r="N545" s="332"/>
      <c r="O545" s="332"/>
      <c r="P545" s="332"/>
      <c r="Q545" s="332"/>
      <c r="R545" s="332"/>
      <c r="S545" s="332"/>
      <c r="T545" s="332"/>
    </row>
    <row r="546" spans="1:20" x14ac:dyDescent="0.6">
      <c r="A546" s="334"/>
      <c r="B546" s="610"/>
      <c r="C546" s="365"/>
      <c r="D546" s="364"/>
      <c r="E546" s="363"/>
      <c r="F546" s="363"/>
      <c r="G546" s="364"/>
      <c r="H546" s="363"/>
      <c r="I546" s="363"/>
      <c r="J546" s="364"/>
      <c r="K546" s="363"/>
      <c r="L546" s="363"/>
      <c r="M546" s="737"/>
      <c r="N546" s="332"/>
      <c r="O546" s="332"/>
      <c r="P546" s="332"/>
      <c r="Q546" s="332"/>
      <c r="R546" s="332"/>
      <c r="S546" s="332"/>
      <c r="T546" s="332"/>
    </row>
    <row r="547" spans="1:20" x14ac:dyDescent="0.6">
      <c r="A547" s="334"/>
      <c r="B547" s="610"/>
      <c r="C547" s="365"/>
      <c r="D547" s="364"/>
      <c r="E547" s="363"/>
      <c r="F547" s="363"/>
      <c r="G547" s="364"/>
      <c r="H547" s="363"/>
      <c r="I547" s="363"/>
      <c r="J547" s="364"/>
      <c r="K547" s="363"/>
      <c r="L547" s="363"/>
      <c r="M547" s="737"/>
      <c r="N547" s="332"/>
      <c r="O547" s="332"/>
      <c r="P547" s="332"/>
      <c r="Q547" s="332"/>
      <c r="R547" s="332"/>
      <c r="S547" s="332"/>
      <c r="T547" s="332"/>
    </row>
    <row r="548" spans="1:20" x14ac:dyDescent="0.6">
      <c r="A548" s="334"/>
      <c r="B548" s="610"/>
      <c r="C548" s="365"/>
      <c r="D548" s="364"/>
      <c r="E548" s="363"/>
      <c r="F548" s="363"/>
      <c r="G548" s="364"/>
      <c r="H548" s="363"/>
      <c r="I548" s="363"/>
      <c r="J548" s="364"/>
      <c r="K548" s="363"/>
      <c r="L548" s="363"/>
      <c r="M548" s="737"/>
      <c r="N548" s="332"/>
      <c r="O548" s="332"/>
      <c r="P548" s="332"/>
      <c r="Q548" s="332"/>
      <c r="R548" s="332"/>
      <c r="S548" s="332"/>
      <c r="T548" s="332"/>
    </row>
    <row r="549" spans="1:20" x14ac:dyDescent="0.6">
      <c r="A549" s="334"/>
      <c r="B549" s="610"/>
      <c r="C549" s="365"/>
      <c r="D549" s="364"/>
      <c r="E549" s="363"/>
      <c r="F549" s="363"/>
      <c r="G549" s="364"/>
      <c r="H549" s="363"/>
      <c r="I549" s="363"/>
      <c r="J549" s="364"/>
      <c r="K549" s="363"/>
      <c r="L549" s="363"/>
      <c r="M549" s="737"/>
      <c r="N549" s="332"/>
      <c r="O549" s="332"/>
      <c r="P549" s="332"/>
      <c r="Q549" s="332"/>
      <c r="R549" s="332"/>
      <c r="S549" s="332"/>
      <c r="T549" s="332"/>
    </row>
    <row r="550" spans="1:20" x14ac:dyDescent="0.6">
      <c r="A550" s="334"/>
      <c r="B550" s="610"/>
      <c r="C550" s="365"/>
      <c r="D550" s="364"/>
      <c r="E550" s="363"/>
      <c r="F550" s="363"/>
      <c r="G550" s="364"/>
      <c r="H550" s="363"/>
      <c r="I550" s="363"/>
      <c r="J550" s="364"/>
      <c r="K550" s="363"/>
      <c r="L550" s="363"/>
      <c r="M550" s="737"/>
      <c r="N550" s="332"/>
      <c r="O550" s="332"/>
      <c r="P550" s="332"/>
      <c r="Q550" s="332"/>
      <c r="R550" s="332"/>
      <c r="S550" s="332"/>
      <c r="T550" s="332"/>
    </row>
    <row r="551" spans="1:20" x14ac:dyDescent="0.6">
      <c r="A551" s="334"/>
      <c r="B551" s="610"/>
      <c r="C551" s="365"/>
      <c r="D551" s="364"/>
      <c r="E551" s="363"/>
      <c r="F551" s="363"/>
      <c r="G551" s="364"/>
      <c r="H551" s="363"/>
      <c r="I551" s="363"/>
      <c r="J551" s="364"/>
      <c r="K551" s="363"/>
      <c r="L551" s="363"/>
      <c r="M551" s="737"/>
      <c r="N551" s="332"/>
      <c r="O551" s="332"/>
      <c r="P551" s="332"/>
      <c r="Q551" s="332"/>
      <c r="R551" s="332"/>
      <c r="S551" s="332"/>
      <c r="T551" s="332"/>
    </row>
    <row r="552" spans="1:20" x14ac:dyDescent="0.6">
      <c r="A552" s="334"/>
      <c r="B552" s="610"/>
      <c r="C552" s="365"/>
      <c r="D552" s="364"/>
      <c r="E552" s="363"/>
      <c r="F552" s="363"/>
      <c r="G552" s="364"/>
      <c r="H552" s="363"/>
      <c r="I552" s="363"/>
      <c r="J552" s="364"/>
      <c r="K552" s="363"/>
      <c r="L552" s="363"/>
      <c r="M552" s="737"/>
      <c r="N552" s="332"/>
      <c r="O552" s="332"/>
      <c r="P552" s="332"/>
      <c r="Q552" s="332"/>
      <c r="R552" s="332"/>
      <c r="S552" s="332"/>
      <c r="T552" s="332"/>
    </row>
    <row r="553" spans="1:20" x14ac:dyDescent="0.6">
      <c r="A553" s="334"/>
      <c r="B553" s="610"/>
      <c r="C553" s="365"/>
      <c r="D553" s="364"/>
      <c r="E553" s="363"/>
      <c r="F553" s="363"/>
      <c r="G553" s="364"/>
      <c r="H553" s="363"/>
      <c r="I553" s="363"/>
      <c r="J553" s="364"/>
      <c r="K553" s="363"/>
      <c r="L553" s="363"/>
      <c r="M553" s="737"/>
      <c r="N553" s="332"/>
      <c r="O553" s="332"/>
      <c r="P553" s="332"/>
      <c r="Q553" s="332"/>
      <c r="R553" s="332"/>
      <c r="S553" s="332"/>
      <c r="T553" s="332"/>
    </row>
    <row r="554" spans="1:20" x14ac:dyDescent="0.6">
      <c r="A554" s="334"/>
      <c r="B554" s="610"/>
      <c r="C554" s="365"/>
      <c r="D554" s="364"/>
      <c r="E554" s="363"/>
      <c r="F554" s="363"/>
      <c r="G554" s="364"/>
      <c r="H554" s="363"/>
      <c r="I554" s="363"/>
      <c r="J554" s="364"/>
      <c r="K554" s="363"/>
      <c r="L554" s="363"/>
      <c r="M554" s="737"/>
      <c r="N554" s="332"/>
      <c r="O554" s="332"/>
      <c r="P554" s="332"/>
      <c r="Q554" s="332"/>
      <c r="R554" s="332"/>
      <c r="S554" s="332"/>
      <c r="T554" s="332"/>
    </row>
    <row r="555" spans="1:20" x14ac:dyDescent="0.6">
      <c r="A555" s="334"/>
      <c r="B555" s="610"/>
      <c r="C555" s="365"/>
      <c r="D555" s="364"/>
      <c r="E555" s="363"/>
      <c r="F555" s="363"/>
      <c r="G555" s="364"/>
      <c r="H555" s="363"/>
      <c r="I555" s="363"/>
      <c r="J555" s="364"/>
      <c r="K555" s="363"/>
      <c r="L555" s="363"/>
      <c r="M555" s="737"/>
      <c r="N555" s="332"/>
      <c r="O555" s="332"/>
      <c r="P555" s="332"/>
      <c r="Q555" s="332"/>
      <c r="R555" s="332"/>
      <c r="S555" s="332"/>
      <c r="T555" s="332"/>
    </row>
    <row r="556" spans="1:20" x14ac:dyDescent="0.6">
      <c r="A556" s="334"/>
      <c r="B556" s="610"/>
      <c r="C556" s="365"/>
      <c r="D556" s="364"/>
      <c r="E556" s="363"/>
      <c r="F556" s="363"/>
      <c r="G556" s="364"/>
      <c r="H556" s="363"/>
      <c r="I556" s="363"/>
      <c r="J556" s="364"/>
      <c r="K556" s="363"/>
      <c r="L556" s="363"/>
      <c r="M556" s="737"/>
      <c r="N556" s="332"/>
      <c r="O556" s="332"/>
      <c r="P556" s="332"/>
      <c r="Q556" s="332"/>
      <c r="R556" s="332"/>
      <c r="S556" s="332"/>
      <c r="T556" s="332"/>
    </row>
    <row r="557" spans="1:20" x14ac:dyDescent="0.6">
      <c r="A557" s="334"/>
      <c r="B557" s="610"/>
      <c r="C557" s="365"/>
      <c r="D557" s="364"/>
      <c r="E557" s="363"/>
      <c r="F557" s="363"/>
      <c r="G557" s="364"/>
      <c r="H557" s="363"/>
      <c r="I557" s="363"/>
      <c r="J557" s="364"/>
      <c r="K557" s="363"/>
      <c r="L557" s="363"/>
      <c r="M557" s="737"/>
      <c r="N557" s="332"/>
      <c r="O557" s="332"/>
      <c r="P557" s="332"/>
      <c r="Q557" s="332"/>
      <c r="R557" s="332"/>
      <c r="S557" s="332"/>
      <c r="T557" s="332"/>
    </row>
    <row r="558" spans="1:20" x14ac:dyDescent="0.6">
      <c r="A558" s="334"/>
      <c r="B558" s="610"/>
      <c r="C558" s="365"/>
      <c r="D558" s="364"/>
      <c r="E558" s="363"/>
      <c r="F558" s="363"/>
      <c r="G558" s="364"/>
      <c r="H558" s="363"/>
      <c r="I558" s="363"/>
      <c r="J558" s="364"/>
      <c r="K558" s="363"/>
      <c r="L558" s="363"/>
      <c r="M558" s="737"/>
      <c r="N558" s="332"/>
      <c r="O558" s="332"/>
      <c r="P558" s="332"/>
      <c r="Q558" s="332"/>
      <c r="R558" s="332"/>
      <c r="S558" s="332"/>
      <c r="T558" s="332"/>
    </row>
    <row r="559" spans="1:20" x14ac:dyDescent="0.6">
      <c r="A559" s="334"/>
      <c r="B559" s="610"/>
      <c r="C559" s="365"/>
      <c r="D559" s="364"/>
      <c r="E559" s="363"/>
      <c r="F559" s="363"/>
      <c r="G559" s="364"/>
      <c r="H559" s="363"/>
      <c r="I559" s="363"/>
      <c r="J559" s="364"/>
      <c r="K559" s="363"/>
      <c r="L559" s="363"/>
      <c r="M559" s="737"/>
      <c r="N559" s="332"/>
      <c r="O559" s="332"/>
      <c r="P559" s="332"/>
      <c r="Q559" s="332"/>
      <c r="R559" s="332"/>
      <c r="S559" s="332"/>
      <c r="T559" s="332"/>
    </row>
    <row r="560" spans="1:20" x14ac:dyDescent="0.6">
      <c r="A560" s="334"/>
      <c r="B560" s="610"/>
      <c r="C560" s="365"/>
      <c r="D560" s="364"/>
      <c r="E560" s="363"/>
      <c r="F560" s="363"/>
      <c r="G560" s="364"/>
      <c r="H560" s="363"/>
      <c r="I560" s="363"/>
      <c r="J560" s="364"/>
      <c r="K560" s="363"/>
      <c r="L560" s="363"/>
      <c r="M560" s="737"/>
      <c r="N560" s="332"/>
      <c r="O560" s="332"/>
      <c r="P560" s="332"/>
      <c r="Q560" s="332"/>
      <c r="R560" s="332"/>
      <c r="S560" s="332"/>
      <c r="T560" s="332"/>
    </row>
    <row r="561" spans="1:20" x14ac:dyDescent="0.6">
      <c r="A561" s="334"/>
      <c r="B561" s="610"/>
      <c r="C561" s="365"/>
      <c r="D561" s="364"/>
      <c r="E561" s="363"/>
      <c r="F561" s="363"/>
      <c r="G561" s="364"/>
      <c r="H561" s="363"/>
      <c r="I561" s="363"/>
      <c r="J561" s="364"/>
      <c r="K561" s="363"/>
      <c r="L561" s="363"/>
      <c r="M561" s="737"/>
      <c r="N561" s="332"/>
      <c r="O561" s="332"/>
      <c r="P561" s="332"/>
      <c r="Q561" s="332"/>
      <c r="R561" s="332"/>
      <c r="S561" s="332"/>
      <c r="T561" s="332"/>
    </row>
    <row r="562" spans="1:20" x14ac:dyDescent="0.6">
      <c r="A562" s="334"/>
      <c r="B562" s="610"/>
      <c r="C562" s="365"/>
      <c r="D562" s="364"/>
      <c r="E562" s="363"/>
      <c r="F562" s="363"/>
      <c r="G562" s="364"/>
      <c r="H562" s="363"/>
      <c r="I562" s="363"/>
      <c r="J562" s="364"/>
      <c r="K562" s="363"/>
      <c r="L562" s="363"/>
      <c r="M562" s="737"/>
      <c r="N562" s="332"/>
      <c r="O562" s="332"/>
      <c r="P562" s="332"/>
      <c r="Q562" s="332"/>
      <c r="R562" s="332"/>
      <c r="S562" s="332"/>
      <c r="T562" s="332"/>
    </row>
    <row r="563" spans="1:20" x14ac:dyDescent="0.6">
      <c r="A563" s="334"/>
      <c r="B563" s="610"/>
      <c r="C563" s="365"/>
      <c r="D563" s="364"/>
      <c r="E563" s="363"/>
      <c r="F563" s="363"/>
      <c r="G563" s="364"/>
      <c r="H563" s="363"/>
      <c r="I563" s="363"/>
      <c r="J563" s="364"/>
      <c r="K563" s="363"/>
      <c r="L563" s="363"/>
      <c r="M563" s="737"/>
      <c r="N563" s="332"/>
      <c r="O563" s="332"/>
      <c r="P563" s="332"/>
      <c r="Q563" s="332"/>
      <c r="R563" s="332"/>
      <c r="S563" s="332"/>
      <c r="T563" s="332"/>
    </row>
    <row r="564" spans="1:20" x14ac:dyDescent="0.6">
      <c r="A564" s="334"/>
      <c r="B564" s="610"/>
      <c r="C564" s="365"/>
      <c r="D564" s="364"/>
      <c r="E564" s="363"/>
      <c r="F564" s="363"/>
      <c r="G564" s="364"/>
      <c r="H564" s="363"/>
      <c r="I564" s="363"/>
      <c r="J564" s="364"/>
      <c r="K564" s="363"/>
      <c r="L564" s="363"/>
      <c r="M564" s="737"/>
      <c r="N564" s="332"/>
      <c r="O564" s="332"/>
      <c r="P564" s="332"/>
      <c r="Q564" s="332"/>
      <c r="R564" s="332"/>
      <c r="S564" s="332"/>
      <c r="T564" s="332"/>
    </row>
    <row r="565" spans="1:20" x14ac:dyDescent="0.6">
      <c r="A565" s="334"/>
      <c r="B565" s="610"/>
      <c r="C565" s="365"/>
      <c r="D565" s="364"/>
      <c r="E565" s="363"/>
      <c r="F565" s="363"/>
      <c r="G565" s="364"/>
      <c r="H565" s="363"/>
      <c r="I565" s="363"/>
      <c r="J565" s="364"/>
      <c r="K565" s="363"/>
      <c r="L565" s="363"/>
      <c r="M565" s="737"/>
      <c r="N565" s="332"/>
      <c r="O565" s="332"/>
      <c r="P565" s="332"/>
      <c r="Q565" s="332"/>
      <c r="R565" s="332"/>
      <c r="S565" s="332"/>
      <c r="T565" s="332"/>
    </row>
    <row r="566" spans="1:20" x14ac:dyDescent="0.6">
      <c r="A566" s="334"/>
      <c r="B566" s="610"/>
      <c r="C566" s="365"/>
      <c r="D566" s="364"/>
      <c r="E566" s="363"/>
      <c r="F566" s="363"/>
      <c r="G566" s="364"/>
      <c r="H566" s="363"/>
      <c r="I566" s="363"/>
      <c r="J566" s="364"/>
      <c r="K566" s="363"/>
      <c r="L566" s="363"/>
      <c r="M566" s="737"/>
      <c r="N566" s="332"/>
      <c r="O566" s="332"/>
      <c r="P566" s="332"/>
      <c r="Q566" s="332"/>
      <c r="R566" s="332"/>
      <c r="S566" s="332"/>
      <c r="T566" s="332"/>
    </row>
    <row r="567" spans="1:20" x14ac:dyDescent="0.6">
      <c r="A567" s="334"/>
      <c r="B567" s="610"/>
      <c r="C567" s="365"/>
      <c r="D567" s="364"/>
      <c r="E567" s="363"/>
      <c r="F567" s="363"/>
      <c r="G567" s="364"/>
      <c r="H567" s="363"/>
      <c r="I567" s="363"/>
      <c r="J567" s="364"/>
      <c r="K567" s="363"/>
      <c r="L567" s="363"/>
      <c r="M567" s="737"/>
      <c r="N567" s="332"/>
      <c r="O567" s="332"/>
      <c r="P567" s="332"/>
      <c r="Q567" s="332"/>
      <c r="R567" s="332"/>
      <c r="S567" s="332"/>
      <c r="T567" s="332"/>
    </row>
    <row r="568" spans="1:20" x14ac:dyDescent="0.6">
      <c r="A568" s="334"/>
      <c r="B568" s="610"/>
      <c r="C568" s="365"/>
      <c r="D568" s="364"/>
      <c r="E568" s="363"/>
      <c r="F568" s="363"/>
      <c r="G568" s="364"/>
      <c r="H568" s="363"/>
      <c r="I568" s="363"/>
      <c r="J568" s="364"/>
      <c r="K568" s="363"/>
      <c r="L568" s="363"/>
      <c r="M568" s="737"/>
      <c r="N568" s="332"/>
      <c r="O568" s="332"/>
      <c r="P568" s="332"/>
      <c r="Q568" s="332"/>
      <c r="R568" s="332"/>
      <c r="S568" s="332"/>
      <c r="T568" s="332"/>
    </row>
    <row r="569" spans="1:20" x14ac:dyDescent="0.6">
      <c r="A569" s="334"/>
      <c r="B569" s="610"/>
      <c r="C569" s="365"/>
      <c r="D569" s="364"/>
      <c r="E569" s="363"/>
      <c r="F569" s="363"/>
      <c r="G569" s="364"/>
      <c r="H569" s="363"/>
      <c r="I569" s="363"/>
      <c r="J569" s="364"/>
      <c r="K569" s="363"/>
      <c r="L569" s="363"/>
      <c r="M569" s="737"/>
      <c r="N569" s="332"/>
      <c r="O569" s="332"/>
      <c r="P569" s="332"/>
      <c r="Q569" s="332"/>
      <c r="R569" s="332"/>
      <c r="S569" s="332"/>
      <c r="T569" s="332"/>
    </row>
    <row r="570" spans="1:20" x14ac:dyDescent="0.6">
      <c r="A570" s="334"/>
      <c r="B570" s="610"/>
      <c r="C570" s="365"/>
      <c r="D570" s="364"/>
      <c r="E570" s="363"/>
      <c r="F570" s="363"/>
      <c r="G570" s="364"/>
      <c r="H570" s="363"/>
      <c r="I570" s="363"/>
      <c r="J570" s="364"/>
      <c r="K570" s="363"/>
      <c r="L570" s="363"/>
      <c r="M570" s="737"/>
      <c r="N570" s="332"/>
      <c r="O570" s="332"/>
      <c r="P570" s="332"/>
      <c r="Q570" s="332"/>
      <c r="R570" s="332"/>
      <c r="S570" s="332"/>
      <c r="T570" s="332"/>
    </row>
    <row r="571" spans="1:20" x14ac:dyDescent="0.6">
      <c r="A571" s="334"/>
      <c r="B571" s="610"/>
      <c r="C571" s="365"/>
      <c r="D571" s="364"/>
      <c r="E571" s="363"/>
      <c r="F571" s="363"/>
      <c r="G571" s="364"/>
      <c r="H571" s="363"/>
      <c r="I571" s="363"/>
      <c r="J571" s="364"/>
      <c r="K571" s="363"/>
      <c r="L571" s="363"/>
      <c r="M571" s="737"/>
      <c r="N571" s="332"/>
      <c r="O571" s="332"/>
      <c r="P571" s="332"/>
      <c r="Q571" s="332"/>
      <c r="R571" s="332"/>
      <c r="S571" s="332"/>
      <c r="T571" s="332"/>
    </row>
    <row r="572" spans="1:20" x14ac:dyDescent="0.6">
      <c r="A572" s="334"/>
      <c r="B572" s="610"/>
      <c r="C572" s="365"/>
      <c r="D572" s="364"/>
      <c r="E572" s="363"/>
      <c r="F572" s="363"/>
      <c r="G572" s="364"/>
      <c r="H572" s="363"/>
      <c r="I572" s="363"/>
      <c r="J572" s="364"/>
      <c r="K572" s="363"/>
      <c r="L572" s="363"/>
      <c r="M572" s="737"/>
      <c r="N572" s="332"/>
      <c r="O572" s="332"/>
      <c r="P572" s="332"/>
      <c r="Q572" s="332"/>
      <c r="R572" s="332"/>
      <c r="S572" s="332"/>
      <c r="T572" s="332"/>
    </row>
    <row r="573" spans="1:20" x14ac:dyDescent="0.6">
      <c r="A573" s="334"/>
      <c r="B573" s="610"/>
      <c r="C573" s="365"/>
      <c r="D573" s="364"/>
      <c r="E573" s="363"/>
      <c r="F573" s="363"/>
      <c r="G573" s="364"/>
      <c r="H573" s="363"/>
      <c r="I573" s="363"/>
      <c r="J573" s="364"/>
      <c r="K573" s="363"/>
      <c r="L573" s="363"/>
      <c r="M573" s="737"/>
      <c r="N573" s="332"/>
      <c r="O573" s="332"/>
      <c r="P573" s="332"/>
      <c r="Q573" s="332"/>
      <c r="R573" s="332"/>
      <c r="S573" s="332"/>
      <c r="T573" s="332"/>
    </row>
    <row r="574" spans="1:20" x14ac:dyDescent="0.6">
      <c r="A574" s="334"/>
      <c r="B574" s="610"/>
      <c r="C574" s="365"/>
      <c r="D574" s="364"/>
      <c r="E574" s="363"/>
      <c r="F574" s="363"/>
      <c r="G574" s="364"/>
      <c r="H574" s="363"/>
      <c r="I574" s="363"/>
      <c r="J574" s="364"/>
      <c r="K574" s="363"/>
      <c r="L574" s="363"/>
      <c r="M574" s="737"/>
      <c r="N574" s="332"/>
      <c r="O574" s="332"/>
      <c r="P574" s="332"/>
      <c r="Q574" s="332"/>
      <c r="R574" s="332"/>
      <c r="S574" s="332"/>
      <c r="T574" s="332"/>
    </row>
    <row r="575" spans="1:20" x14ac:dyDescent="0.6">
      <c r="A575" s="334"/>
      <c r="B575" s="610"/>
      <c r="C575" s="365"/>
      <c r="D575" s="364"/>
      <c r="E575" s="363"/>
      <c r="F575" s="363"/>
      <c r="G575" s="364"/>
      <c r="H575" s="363"/>
      <c r="I575" s="363"/>
      <c r="J575" s="364"/>
      <c r="K575" s="363"/>
      <c r="L575" s="363"/>
      <c r="M575" s="737"/>
      <c r="N575" s="332"/>
      <c r="O575" s="332"/>
      <c r="P575" s="332"/>
      <c r="Q575" s="332"/>
      <c r="R575" s="332"/>
      <c r="S575" s="332"/>
      <c r="T575" s="332"/>
    </row>
    <row r="576" spans="1:20" x14ac:dyDescent="0.6">
      <c r="A576" s="334"/>
      <c r="B576" s="610"/>
      <c r="C576" s="365"/>
      <c r="D576" s="364"/>
      <c r="E576" s="363"/>
      <c r="F576" s="363"/>
      <c r="G576" s="364"/>
      <c r="H576" s="363"/>
      <c r="I576" s="363"/>
      <c r="J576" s="364"/>
      <c r="K576" s="363"/>
      <c r="L576" s="363"/>
      <c r="M576" s="737"/>
      <c r="N576" s="332"/>
      <c r="O576" s="332"/>
      <c r="P576" s="332"/>
      <c r="Q576" s="332"/>
      <c r="R576" s="332"/>
      <c r="S576" s="332"/>
      <c r="T576" s="332"/>
    </row>
    <row r="577" spans="1:20" x14ac:dyDescent="0.6">
      <c r="A577" s="334"/>
      <c r="B577" s="610"/>
      <c r="C577" s="365"/>
      <c r="D577" s="364"/>
      <c r="E577" s="363"/>
      <c r="F577" s="363"/>
      <c r="G577" s="364"/>
      <c r="H577" s="363"/>
      <c r="I577" s="363"/>
      <c r="J577" s="364"/>
      <c r="K577" s="363"/>
      <c r="L577" s="363"/>
      <c r="M577" s="737"/>
      <c r="N577" s="332"/>
      <c r="O577" s="332"/>
      <c r="P577" s="332"/>
      <c r="Q577" s="332"/>
      <c r="R577" s="332"/>
      <c r="S577" s="332"/>
      <c r="T577" s="332"/>
    </row>
    <row r="578" spans="1:20" x14ac:dyDescent="0.6">
      <c r="A578" s="334"/>
      <c r="B578" s="610"/>
      <c r="C578" s="365"/>
      <c r="D578" s="364"/>
      <c r="E578" s="363"/>
      <c r="F578" s="363"/>
      <c r="G578" s="364"/>
      <c r="H578" s="363"/>
      <c r="I578" s="363"/>
      <c r="J578" s="364"/>
      <c r="K578" s="363"/>
      <c r="L578" s="363"/>
      <c r="M578" s="737"/>
      <c r="N578" s="332"/>
      <c r="O578" s="332"/>
      <c r="P578" s="332"/>
      <c r="Q578" s="332"/>
      <c r="R578" s="332"/>
      <c r="S578" s="332"/>
      <c r="T578" s="332"/>
    </row>
    <row r="579" spans="1:20" x14ac:dyDescent="0.6">
      <c r="A579" s="334"/>
      <c r="B579" s="610"/>
      <c r="C579" s="365"/>
      <c r="D579" s="364"/>
      <c r="E579" s="363"/>
      <c r="F579" s="363"/>
      <c r="G579" s="364"/>
      <c r="H579" s="363"/>
      <c r="I579" s="363"/>
      <c r="J579" s="364"/>
      <c r="K579" s="363"/>
      <c r="L579" s="363"/>
      <c r="M579" s="737"/>
      <c r="N579" s="332"/>
      <c r="O579" s="332"/>
      <c r="P579" s="332"/>
      <c r="Q579" s="332"/>
      <c r="R579" s="332"/>
      <c r="S579" s="332"/>
      <c r="T579" s="332"/>
    </row>
    <row r="580" spans="1:20" x14ac:dyDescent="0.6">
      <c r="A580" s="334"/>
      <c r="B580" s="610"/>
      <c r="C580" s="365"/>
      <c r="D580" s="364"/>
      <c r="E580" s="363"/>
      <c r="F580" s="363"/>
      <c r="G580" s="364"/>
      <c r="H580" s="363"/>
      <c r="I580" s="363"/>
      <c r="J580" s="364"/>
      <c r="K580" s="363"/>
      <c r="L580" s="363"/>
      <c r="M580" s="737"/>
      <c r="N580" s="332"/>
      <c r="O580" s="332"/>
      <c r="P580" s="332"/>
      <c r="Q580" s="332"/>
      <c r="R580" s="332"/>
      <c r="S580" s="332"/>
      <c r="T580" s="332"/>
    </row>
    <row r="581" spans="1:20" x14ac:dyDescent="0.6">
      <c r="A581" s="334"/>
      <c r="B581" s="610"/>
      <c r="C581" s="365"/>
      <c r="D581" s="364"/>
      <c r="E581" s="363"/>
      <c r="F581" s="363"/>
      <c r="G581" s="364"/>
      <c r="H581" s="363"/>
      <c r="I581" s="363"/>
      <c r="J581" s="364"/>
      <c r="K581" s="363"/>
      <c r="L581" s="363"/>
      <c r="M581" s="737"/>
      <c r="N581" s="332"/>
      <c r="O581" s="332"/>
      <c r="P581" s="332"/>
      <c r="Q581" s="332"/>
      <c r="R581" s="332"/>
      <c r="S581" s="332"/>
      <c r="T581" s="332"/>
    </row>
    <row r="582" spans="1:20" x14ac:dyDescent="0.6">
      <c r="A582" s="334"/>
      <c r="B582" s="610"/>
      <c r="C582" s="365"/>
      <c r="D582" s="364"/>
      <c r="E582" s="363"/>
      <c r="F582" s="363"/>
      <c r="G582" s="364"/>
      <c r="H582" s="363"/>
      <c r="I582" s="363"/>
      <c r="J582" s="364"/>
      <c r="K582" s="363"/>
      <c r="L582" s="363"/>
      <c r="M582" s="737"/>
      <c r="N582" s="332"/>
      <c r="O582" s="332"/>
      <c r="P582" s="332"/>
      <c r="Q582" s="332"/>
      <c r="R582" s="332"/>
      <c r="S582" s="332"/>
      <c r="T582" s="332"/>
    </row>
    <row r="583" spans="1:20" x14ac:dyDescent="0.6">
      <c r="A583" s="334"/>
      <c r="B583" s="610"/>
      <c r="C583" s="365"/>
      <c r="D583" s="364"/>
      <c r="E583" s="363"/>
      <c r="F583" s="363"/>
      <c r="G583" s="364"/>
      <c r="H583" s="363"/>
      <c r="I583" s="363"/>
      <c r="J583" s="364"/>
      <c r="K583" s="363"/>
      <c r="L583" s="363"/>
      <c r="M583" s="737"/>
      <c r="N583" s="332"/>
      <c r="O583" s="332"/>
      <c r="P583" s="332"/>
      <c r="Q583" s="332"/>
      <c r="R583" s="332"/>
      <c r="S583" s="332"/>
      <c r="T583" s="332"/>
    </row>
    <row r="584" spans="1:20" x14ac:dyDescent="0.6">
      <c r="A584" s="334"/>
      <c r="B584" s="610"/>
      <c r="C584" s="365"/>
      <c r="D584" s="364"/>
      <c r="E584" s="363"/>
      <c r="F584" s="363"/>
      <c r="G584" s="364"/>
      <c r="H584" s="363"/>
      <c r="I584" s="363"/>
      <c r="J584" s="364"/>
      <c r="K584" s="363"/>
      <c r="L584" s="363"/>
      <c r="M584" s="737"/>
      <c r="N584" s="332"/>
      <c r="O584" s="332"/>
      <c r="P584" s="332"/>
      <c r="Q584" s="332"/>
      <c r="R584" s="332"/>
      <c r="S584" s="332"/>
      <c r="T584" s="332"/>
    </row>
    <row r="585" spans="1:20" x14ac:dyDescent="0.6">
      <c r="A585" s="334"/>
      <c r="B585" s="610"/>
      <c r="C585" s="365"/>
      <c r="D585" s="364"/>
      <c r="E585" s="363"/>
      <c r="F585" s="363"/>
      <c r="G585" s="364"/>
      <c r="H585" s="363"/>
      <c r="I585" s="363"/>
      <c r="J585" s="364"/>
      <c r="K585" s="363"/>
      <c r="L585" s="363"/>
      <c r="M585" s="737"/>
      <c r="N585" s="332"/>
      <c r="O585" s="332"/>
      <c r="P585" s="332"/>
      <c r="Q585" s="332"/>
      <c r="R585" s="332"/>
      <c r="S585" s="332"/>
      <c r="T585" s="332"/>
    </row>
    <row r="586" spans="1:20" x14ac:dyDescent="0.6">
      <c r="A586" s="334"/>
      <c r="B586" s="610"/>
      <c r="C586" s="365"/>
      <c r="D586" s="364"/>
      <c r="E586" s="363"/>
      <c r="F586" s="363"/>
      <c r="G586" s="364"/>
      <c r="H586" s="363"/>
      <c r="I586" s="363"/>
      <c r="J586" s="364"/>
      <c r="K586" s="363"/>
      <c r="L586" s="363"/>
      <c r="M586" s="737"/>
      <c r="N586" s="332"/>
      <c r="O586" s="332"/>
      <c r="P586" s="332"/>
      <c r="Q586" s="332"/>
      <c r="R586" s="332"/>
      <c r="S586" s="332"/>
      <c r="T586" s="332"/>
    </row>
    <row r="587" spans="1:20" x14ac:dyDescent="0.6">
      <c r="A587" s="334"/>
      <c r="B587" s="610"/>
      <c r="C587" s="365"/>
      <c r="D587" s="364"/>
      <c r="E587" s="363"/>
      <c r="F587" s="363"/>
      <c r="G587" s="364"/>
      <c r="H587" s="363"/>
      <c r="I587" s="363"/>
      <c r="J587" s="364"/>
      <c r="K587" s="363"/>
      <c r="L587" s="363"/>
      <c r="M587" s="737"/>
      <c r="N587" s="332"/>
      <c r="O587" s="332"/>
      <c r="P587" s="332"/>
      <c r="Q587" s="332"/>
      <c r="R587" s="332"/>
      <c r="S587" s="332"/>
      <c r="T587" s="332"/>
    </row>
    <row r="588" spans="1:20" x14ac:dyDescent="0.6">
      <c r="A588" s="334"/>
      <c r="B588" s="610"/>
      <c r="C588" s="365"/>
      <c r="D588" s="364"/>
      <c r="E588" s="363"/>
      <c r="F588" s="363"/>
      <c r="G588" s="364"/>
      <c r="H588" s="363"/>
      <c r="I588" s="363"/>
      <c r="J588" s="364"/>
      <c r="K588" s="363"/>
      <c r="L588" s="363"/>
      <c r="M588" s="737"/>
      <c r="N588" s="332"/>
      <c r="O588" s="332"/>
      <c r="P588" s="332"/>
      <c r="Q588" s="332"/>
      <c r="R588" s="332"/>
      <c r="S588" s="332"/>
      <c r="T588" s="332"/>
    </row>
    <row r="589" spans="1:20" x14ac:dyDescent="0.6">
      <c r="A589" s="334"/>
      <c r="B589" s="610"/>
      <c r="C589" s="365"/>
      <c r="D589" s="364"/>
      <c r="E589" s="363"/>
      <c r="F589" s="363"/>
      <c r="G589" s="364"/>
      <c r="H589" s="363"/>
      <c r="I589" s="363"/>
      <c r="J589" s="364"/>
      <c r="K589" s="363"/>
      <c r="L589" s="363"/>
      <c r="M589" s="737"/>
      <c r="N589" s="332"/>
      <c r="O589" s="332"/>
      <c r="P589" s="332"/>
      <c r="Q589" s="332"/>
      <c r="R589" s="332"/>
      <c r="S589" s="332"/>
      <c r="T589" s="332"/>
    </row>
    <row r="590" spans="1:20" x14ac:dyDescent="0.6">
      <c r="A590" s="334"/>
      <c r="B590" s="610"/>
      <c r="C590" s="365"/>
      <c r="D590" s="364"/>
      <c r="E590" s="363"/>
      <c r="F590" s="363"/>
      <c r="G590" s="364"/>
      <c r="H590" s="363"/>
      <c r="I590" s="363"/>
      <c r="J590" s="364"/>
      <c r="K590" s="363"/>
      <c r="L590" s="363"/>
      <c r="M590" s="737"/>
      <c r="N590" s="332"/>
      <c r="O590" s="332"/>
      <c r="P590" s="332"/>
      <c r="Q590" s="332"/>
      <c r="R590" s="332"/>
      <c r="S590" s="332"/>
      <c r="T590" s="332"/>
    </row>
    <row r="591" spans="1:20" x14ac:dyDescent="0.6">
      <c r="A591" s="334"/>
      <c r="B591" s="610"/>
      <c r="C591" s="365"/>
      <c r="D591" s="364"/>
      <c r="E591" s="363"/>
      <c r="F591" s="363"/>
      <c r="G591" s="364"/>
      <c r="H591" s="363"/>
      <c r="I591" s="363"/>
      <c r="J591" s="364"/>
      <c r="K591" s="363"/>
      <c r="L591" s="363"/>
      <c r="M591" s="737"/>
      <c r="N591" s="332"/>
      <c r="O591" s="332"/>
      <c r="P591" s="332"/>
      <c r="Q591" s="332"/>
      <c r="R591" s="332"/>
      <c r="S591" s="332"/>
      <c r="T591" s="332"/>
    </row>
    <row r="592" spans="1:20" x14ac:dyDescent="0.6">
      <c r="A592" s="334"/>
      <c r="B592" s="610"/>
      <c r="C592" s="365"/>
      <c r="D592" s="364"/>
      <c r="E592" s="363"/>
      <c r="F592" s="363"/>
      <c r="G592" s="364"/>
      <c r="H592" s="363"/>
      <c r="I592" s="363"/>
      <c r="J592" s="364"/>
      <c r="K592" s="363"/>
      <c r="L592" s="363"/>
      <c r="M592" s="737"/>
      <c r="N592" s="332"/>
      <c r="O592" s="332"/>
      <c r="P592" s="332"/>
      <c r="Q592" s="332"/>
      <c r="R592" s="332"/>
      <c r="S592" s="332"/>
      <c r="T592" s="332"/>
    </row>
    <row r="593" spans="1:20" x14ac:dyDescent="0.6">
      <c r="A593" s="334"/>
      <c r="B593" s="610"/>
      <c r="C593" s="365"/>
      <c r="D593" s="364"/>
      <c r="E593" s="363"/>
      <c r="F593" s="363"/>
      <c r="G593" s="364"/>
      <c r="H593" s="363"/>
      <c r="I593" s="363"/>
      <c r="J593" s="364"/>
      <c r="K593" s="363"/>
      <c r="L593" s="363"/>
      <c r="M593" s="737"/>
      <c r="N593" s="332"/>
      <c r="O593" s="332"/>
      <c r="P593" s="332"/>
      <c r="Q593" s="332"/>
      <c r="R593" s="332"/>
      <c r="S593" s="332"/>
      <c r="T593" s="332"/>
    </row>
    <row r="594" spans="1:20" x14ac:dyDescent="0.6">
      <c r="A594" s="334"/>
      <c r="B594" s="610"/>
      <c r="C594" s="365"/>
      <c r="D594" s="364"/>
      <c r="E594" s="363"/>
      <c r="F594" s="363"/>
      <c r="G594" s="364"/>
      <c r="H594" s="363"/>
      <c r="I594" s="363"/>
      <c r="J594" s="364"/>
      <c r="K594" s="363"/>
      <c r="L594" s="363"/>
      <c r="M594" s="737"/>
      <c r="N594" s="332"/>
      <c r="O594" s="332"/>
      <c r="P594" s="332"/>
      <c r="Q594" s="332"/>
      <c r="R594" s="332"/>
      <c r="S594" s="332"/>
      <c r="T594" s="332"/>
    </row>
    <row r="595" spans="1:20" x14ac:dyDescent="0.6">
      <c r="A595" s="334"/>
      <c r="B595" s="610"/>
      <c r="C595" s="365"/>
      <c r="D595" s="364"/>
      <c r="E595" s="363"/>
      <c r="F595" s="363"/>
      <c r="G595" s="364"/>
      <c r="H595" s="363"/>
      <c r="I595" s="363"/>
      <c r="J595" s="364"/>
      <c r="K595" s="363"/>
      <c r="L595" s="363"/>
      <c r="M595" s="737"/>
      <c r="N595" s="332"/>
      <c r="O595" s="332"/>
      <c r="P595" s="332"/>
      <c r="Q595" s="332"/>
      <c r="R595" s="332"/>
      <c r="S595" s="332"/>
      <c r="T595" s="332"/>
    </row>
    <row r="596" spans="1:20" x14ac:dyDescent="0.6">
      <c r="A596" s="334"/>
      <c r="B596" s="610"/>
      <c r="C596" s="365"/>
      <c r="D596" s="364"/>
      <c r="E596" s="363"/>
      <c r="F596" s="363"/>
      <c r="G596" s="364"/>
      <c r="H596" s="363"/>
      <c r="I596" s="363"/>
      <c r="J596" s="364"/>
      <c r="K596" s="363"/>
      <c r="L596" s="363"/>
      <c r="M596" s="737"/>
      <c r="N596" s="332"/>
      <c r="O596" s="332"/>
      <c r="P596" s="332"/>
      <c r="Q596" s="332"/>
      <c r="R596" s="332"/>
      <c r="S596" s="332"/>
      <c r="T596" s="332"/>
    </row>
    <row r="597" spans="1:20" x14ac:dyDescent="0.6">
      <c r="A597" s="334"/>
      <c r="B597" s="610"/>
      <c r="C597" s="365"/>
      <c r="D597" s="364"/>
      <c r="E597" s="363"/>
      <c r="F597" s="363"/>
      <c r="G597" s="364"/>
      <c r="H597" s="363"/>
      <c r="I597" s="363"/>
      <c r="J597" s="364"/>
      <c r="K597" s="363"/>
      <c r="L597" s="363"/>
      <c r="M597" s="737"/>
      <c r="N597" s="332"/>
      <c r="O597" s="332"/>
      <c r="P597" s="332"/>
      <c r="Q597" s="332"/>
      <c r="R597" s="332"/>
      <c r="S597" s="332"/>
      <c r="T597" s="332"/>
    </row>
    <row r="598" spans="1:20" x14ac:dyDescent="0.6">
      <c r="A598" s="334"/>
      <c r="B598" s="610"/>
      <c r="C598" s="365"/>
      <c r="D598" s="364"/>
      <c r="E598" s="363"/>
      <c r="F598" s="363"/>
      <c r="G598" s="364"/>
      <c r="H598" s="363"/>
      <c r="I598" s="363"/>
      <c r="J598" s="364"/>
      <c r="K598" s="363"/>
      <c r="L598" s="363"/>
      <c r="M598" s="737"/>
      <c r="N598" s="332"/>
      <c r="O598" s="332"/>
      <c r="P598" s="332"/>
      <c r="Q598" s="332"/>
      <c r="R598" s="332"/>
      <c r="S598" s="332"/>
      <c r="T598" s="332"/>
    </row>
    <row r="599" spans="1:20" x14ac:dyDescent="0.6">
      <c r="A599" s="334"/>
      <c r="B599" s="610"/>
      <c r="C599" s="365"/>
      <c r="D599" s="364"/>
      <c r="E599" s="363"/>
      <c r="F599" s="363"/>
      <c r="G599" s="364"/>
      <c r="H599" s="363"/>
      <c r="I599" s="363"/>
      <c r="J599" s="364"/>
      <c r="K599" s="363"/>
      <c r="L599" s="363"/>
      <c r="M599" s="737"/>
      <c r="N599" s="332"/>
      <c r="O599" s="332"/>
      <c r="P599" s="332"/>
      <c r="Q599" s="332"/>
      <c r="R599" s="332"/>
      <c r="S599" s="332"/>
      <c r="T599" s="332"/>
    </row>
    <row r="600" spans="1:20" x14ac:dyDescent="0.6">
      <c r="A600" s="334"/>
      <c r="B600" s="610"/>
      <c r="C600" s="365"/>
      <c r="D600" s="364"/>
      <c r="E600" s="363"/>
      <c r="F600" s="363"/>
      <c r="G600" s="364"/>
      <c r="H600" s="363"/>
      <c r="I600" s="363"/>
      <c r="J600" s="364"/>
      <c r="K600" s="363"/>
      <c r="L600" s="363"/>
      <c r="M600" s="737"/>
      <c r="N600" s="332"/>
      <c r="O600" s="332"/>
      <c r="P600" s="332"/>
      <c r="Q600" s="332"/>
      <c r="R600" s="332"/>
      <c r="S600" s="332"/>
      <c r="T600" s="332"/>
    </row>
    <row r="601" spans="1:20" x14ac:dyDescent="0.6">
      <c r="A601" s="334"/>
      <c r="B601" s="610"/>
      <c r="C601" s="365"/>
      <c r="D601" s="364"/>
      <c r="E601" s="363"/>
      <c r="F601" s="363"/>
      <c r="G601" s="364"/>
      <c r="H601" s="363"/>
      <c r="I601" s="363"/>
      <c r="J601" s="364"/>
      <c r="K601" s="363"/>
      <c r="L601" s="363"/>
      <c r="M601" s="737"/>
      <c r="N601" s="332"/>
      <c r="O601" s="332"/>
      <c r="P601" s="332"/>
      <c r="Q601" s="332"/>
      <c r="R601" s="332"/>
      <c r="S601" s="332"/>
      <c r="T601" s="332"/>
    </row>
    <row r="602" spans="1:20" x14ac:dyDescent="0.6">
      <c r="A602" s="334"/>
      <c r="B602" s="610"/>
      <c r="C602" s="365"/>
      <c r="D602" s="364"/>
      <c r="E602" s="363"/>
      <c r="F602" s="363"/>
      <c r="G602" s="364"/>
      <c r="H602" s="363"/>
      <c r="I602" s="363"/>
      <c r="J602" s="364"/>
      <c r="K602" s="363"/>
      <c r="L602" s="363"/>
      <c r="M602" s="737"/>
      <c r="N602" s="332"/>
      <c r="O602" s="332"/>
      <c r="P602" s="332"/>
      <c r="Q602" s="332"/>
      <c r="R602" s="332"/>
      <c r="S602" s="332"/>
      <c r="T602" s="332"/>
    </row>
    <row r="603" spans="1:20" x14ac:dyDescent="0.6">
      <c r="A603" s="334"/>
      <c r="B603" s="610"/>
      <c r="C603" s="365"/>
      <c r="D603" s="364"/>
      <c r="E603" s="363"/>
      <c r="F603" s="363"/>
      <c r="G603" s="364"/>
      <c r="H603" s="363"/>
      <c r="I603" s="363"/>
      <c r="J603" s="364"/>
      <c r="K603" s="363"/>
      <c r="L603" s="363"/>
      <c r="M603" s="737"/>
      <c r="N603" s="332"/>
      <c r="O603" s="332"/>
      <c r="P603" s="332"/>
      <c r="Q603" s="332"/>
      <c r="R603" s="332"/>
      <c r="S603" s="332"/>
      <c r="T603" s="332"/>
    </row>
    <row r="604" spans="1:20" x14ac:dyDescent="0.6">
      <c r="A604" s="334"/>
      <c r="B604" s="610"/>
      <c r="C604" s="365"/>
      <c r="D604" s="364"/>
      <c r="E604" s="363"/>
      <c r="F604" s="363"/>
      <c r="G604" s="364"/>
      <c r="H604" s="363"/>
      <c r="I604" s="363"/>
      <c r="J604" s="364"/>
      <c r="K604" s="363"/>
      <c r="L604" s="363"/>
      <c r="M604" s="737"/>
      <c r="N604" s="332"/>
      <c r="O604" s="332"/>
      <c r="P604" s="332"/>
      <c r="Q604" s="332"/>
      <c r="R604" s="332"/>
      <c r="S604" s="332"/>
      <c r="T604" s="332"/>
    </row>
    <row r="605" spans="1:20" x14ac:dyDescent="0.6">
      <c r="A605" s="334"/>
      <c r="B605" s="610"/>
      <c r="C605" s="365"/>
      <c r="D605" s="364"/>
      <c r="E605" s="363"/>
      <c r="F605" s="363"/>
      <c r="G605" s="364"/>
      <c r="H605" s="363"/>
      <c r="I605" s="363"/>
      <c r="J605" s="364"/>
      <c r="K605" s="363"/>
      <c r="L605" s="363"/>
      <c r="M605" s="737"/>
      <c r="N605" s="332"/>
      <c r="O605" s="332"/>
      <c r="P605" s="332"/>
      <c r="Q605" s="332"/>
      <c r="R605" s="332"/>
      <c r="S605" s="332"/>
      <c r="T605" s="332"/>
    </row>
    <row r="606" spans="1:20" x14ac:dyDescent="0.6">
      <c r="A606" s="334"/>
      <c r="B606" s="610"/>
      <c r="C606" s="365"/>
      <c r="D606" s="364"/>
      <c r="E606" s="363"/>
      <c r="F606" s="363"/>
      <c r="G606" s="364"/>
      <c r="H606" s="363"/>
      <c r="I606" s="363"/>
      <c r="J606" s="364"/>
      <c r="K606" s="363"/>
      <c r="L606" s="363"/>
      <c r="M606" s="737"/>
      <c r="N606" s="332"/>
      <c r="O606" s="332"/>
      <c r="P606" s="332"/>
      <c r="Q606" s="332"/>
      <c r="R606" s="332"/>
      <c r="S606" s="332"/>
      <c r="T606" s="332"/>
    </row>
    <row r="607" spans="1:20" x14ac:dyDescent="0.6">
      <c r="A607" s="334"/>
      <c r="B607" s="610"/>
      <c r="C607" s="365"/>
      <c r="D607" s="364"/>
      <c r="E607" s="363"/>
      <c r="F607" s="363"/>
      <c r="G607" s="364"/>
      <c r="H607" s="363"/>
      <c r="I607" s="363"/>
      <c r="J607" s="364"/>
      <c r="K607" s="363"/>
      <c r="L607" s="363"/>
      <c r="M607" s="737"/>
      <c r="N607" s="332"/>
      <c r="O607" s="332"/>
      <c r="P607" s="332"/>
      <c r="Q607" s="332"/>
      <c r="R607" s="332"/>
      <c r="S607" s="332"/>
      <c r="T607" s="332"/>
    </row>
    <row r="608" spans="1:20" x14ac:dyDescent="0.6">
      <c r="A608" s="334"/>
      <c r="B608" s="610"/>
      <c r="C608" s="365"/>
      <c r="D608" s="364"/>
      <c r="E608" s="363"/>
      <c r="F608" s="363"/>
      <c r="G608" s="364"/>
      <c r="H608" s="363"/>
      <c r="I608" s="363"/>
      <c r="J608" s="364"/>
      <c r="K608" s="363"/>
      <c r="L608" s="363"/>
      <c r="M608" s="737"/>
      <c r="N608" s="332"/>
      <c r="O608" s="332"/>
      <c r="P608" s="332"/>
      <c r="Q608" s="332"/>
      <c r="R608" s="332"/>
      <c r="S608" s="332"/>
      <c r="T608" s="332"/>
    </row>
    <row r="609" spans="1:20" x14ac:dyDescent="0.6">
      <c r="A609" s="334"/>
      <c r="B609" s="610"/>
      <c r="C609" s="365"/>
      <c r="D609" s="364"/>
      <c r="E609" s="363"/>
      <c r="F609" s="363"/>
      <c r="G609" s="364"/>
      <c r="H609" s="363"/>
      <c r="I609" s="363"/>
      <c r="J609" s="364"/>
      <c r="K609" s="363"/>
      <c r="L609" s="363"/>
      <c r="M609" s="737"/>
      <c r="N609" s="332"/>
      <c r="O609" s="332"/>
      <c r="P609" s="332"/>
      <c r="Q609" s="332"/>
      <c r="R609" s="332"/>
      <c r="S609" s="332"/>
      <c r="T609" s="332"/>
    </row>
    <row r="610" spans="1:20" x14ac:dyDescent="0.6">
      <c r="A610" s="334"/>
      <c r="B610" s="610"/>
      <c r="C610" s="365"/>
      <c r="D610" s="364"/>
      <c r="E610" s="363"/>
      <c r="F610" s="363"/>
      <c r="G610" s="364"/>
      <c r="H610" s="363"/>
      <c r="I610" s="363"/>
      <c r="J610" s="364"/>
      <c r="K610" s="363"/>
      <c r="L610" s="363"/>
      <c r="M610" s="737"/>
      <c r="N610" s="332"/>
      <c r="O610" s="332"/>
      <c r="P610" s="332"/>
      <c r="Q610" s="332"/>
      <c r="R610" s="332"/>
      <c r="S610" s="332"/>
      <c r="T610" s="332"/>
    </row>
    <row r="611" spans="1:20" x14ac:dyDescent="0.6">
      <c r="A611" s="334"/>
      <c r="B611" s="610"/>
      <c r="C611" s="365"/>
      <c r="D611" s="364"/>
      <c r="E611" s="363"/>
      <c r="F611" s="363"/>
      <c r="G611" s="364"/>
      <c r="H611" s="363"/>
      <c r="I611" s="363"/>
      <c r="J611" s="364"/>
      <c r="K611" s="363"/>
      <c r="L611" s="363"/>
      <c r="M611" s="737"/>
      <c r="N611" s="332"/>
      <c r="O611" s="332"/>
      <c r="P611" s="332"/>
      <c r="Q611" s="332"/>
      <c r="R611" s="332"/>
      <c r="S611" s="332"/>
      <c r="T611" s="332"/>
    </row>
    <row r="612" spans="1:20" x14ac:dyDescent="0.6">
      <c r="A612" s="334"/>
      <c r="B612" s="610"/>
      <c r="C612" s="365"/>
      <c r="D612" s="364"/>
      <c r="E612" s="363"/>
      <c r="F612" s="363"/>
      <c r="G612" s="364"/>
      <c r="H612" s="363"/>
      <c r="I612" s="363"/>
      <c r="J612" s="364"/>
      <c r="K612" s="363"/>
      <c r="L612" s="363"/>
      <c r="M612" s="737"/>
      <c r="N612" s="332"/>
      <c r="O612" s="332"/>
      <c r="P612" s="332"/>
      <c r="Q612" s="332"/>
      <c r="R612" s="332"/>
      <c r="S612" s="332"/>
      <c r="T612" s="332"/>
    </row>
    <row r="613" spans="1:20" x14ac:dyDescent="0.6">
      <c r="A613" s="334"/>
      <c r="B613" s="610"/>
      <c r="C613" s="365"/>
      <c r="D613" s="364"/>
      <c r="E613" s="363"/>
      <c r="F613" s="363"/>
      <c r="G613" s="364"/>
      <c r="H613" s="363"/>
      <c r="I613" s="363"/>
      <c r="J613" s="364"/>
      <c r="K613" s="363"/>
      <c r="L613" s="363"/>
      <c r="M613" s="737"/>
      <c r="N613" s="332"/>
      <c r="O613" s="332"/>
      <c r="P613" s="332"/>
      <c r="Q613" s="332"/>
      <c r="R613" s="332"/>
      <c r="S613" s="332"/>
      <c r="T613" s="332"/>
    </row>
    <row r="614" spans="1:20" x14ac:dyDescent="0.6">
      <c r="A614" s="334"/>
      <c r="B614" s="610"/>
      <c r="C614" s="365"/>
      <c r="D614" s="364"/>
      <c r="E614" s="363"/>
      <c r="F614" s="363"/>
      <c r="G614" s="364"/>
      <c r="H614" s="363"/>
      <c r="I614" s="363"/>
      <c r="J614" s="364"/>
      <c r="K614" s="363"/>
      <c r="L614" s="363"/>
      <c r="M614" s="737"/>
      <c r="N614" s="332"/>
      <c r="O614" s="332"/>
      <c r="P614" s="332"/>
      <c r="Q614" s="332"/>
      <c r="R614" s="332"/>
      <c r="S614" s="332"/>
      <c r="T614" s="332"/>
    </row>
    <row r="615" spans="1:20" x14ac:dyDescent="0.6">
      <c r="A615" s="334"/>
      <c r="B615" s="610"/>
      <c r="C615" s="365"/>
      <c r="D615" s="364"/>
      <c r="E615" s="363"/>
      <c r="F615" s="363"/>
      <c r="G615" s="364"/>
      <c r="H615" s="363"/>
      <c r="I615" s="363"/>
      <c r="J615" s="364"/>
      <c r="K615" s="363"/>
      <c r="L615" s="363"/>
      <c r="M615" s="737"/>
      <c r="N615" s="332"/>
      <c r="O615" s="332"/>
      <c r="P615" s="332"/>
      <c r="Q615" s="332"/>
      <c r="R615" s="332"/>
      <c r="S615" s="332"/>
      <c r="T615" s="332"/>
    </row>
    <row r="616" spans="1:20" x14ac:dyDescent="0.6">
      <c r="A616" s="334"/>
      <c r="B616" s="610"/>
      <c r="C616" s="365"/>
      <c r="D616" s="364"/>
      <c r="E616" s="363"/>
      <c r="F616" s="363"/>
      <c r="G616" s="364"/>
      <c r="H616" s="363"/>
      <c r="I616" s="363"/>
      <c r="J616" s="364"/>
      <c r="K616" s="363"/>
      <c r="L616" s="363"/>
      <c r="M616" s="737"/>
      <c r="N616" s="332"/>
      <c r="O616" s="332"/>
      <c r="P616" s="332"/>
      <c r="Q616" s="332"/>
      <c r="R616" s="332"/>
      <c r="S616" s="332"/>
      <c r="T616" s="332"/>
    </row>
    <row r="617" spans="1:20" x14ac:dyDescent="0.6">
      <c r="A617" s="334"/>
      <c r="B617" s="610"/>
      <c r="C617" s="365"/>
      <c r="D617" s="364"/>
      <c r="E617" s="363"/>
      <c r="F617" s="363"/>
      <c r="G617" s="364"/>
      <c r="H617" s="363"/>
      <c r="I617" s="363"/>
      <c r="J617" s="364"/>
      <c r="K617" s="363"/>
      <c r="L617" s="363"/>
      <c r="M617" s="737"/>
      <c r="N617" s="332"/>
      <c r="O617" s="332"/>
      <c r="P617" s="332"/>
      <c r="Q617" s="332"/>
      <c r="R617" s="332"/>
      <c r="S617" s="332"/>
      <c r="T617" s="332"/>
    </row>
    <row r="618" spans="1:20" x14ac:dyDescent="0.6">
      <c r="A618" s="334"/>
      <c r="B618" s="610"/>
      <c r="C618" s="365"/>
      <c r="D618" s="364"/>
      <c r="E618" s="363"/>
      <c r="F618" s="363"/>
      <c r="G618" s="364"/>
      <c r="H618" s="363"/>
      <c r="I618" s="363"/>
      <c r="J618" s="364"/>
      <c r="K618" s="363"/>
      <c r="L618" s="363"/>
      <c r="M618" s="737"/>
      <c r="N618" s="332"/>
      <c r="O618" s="332"/>
      <c r="P618" s="332"/>
      <c r="Q618" s="332"/>
      <c r="R618" s="332"/>
      <c r="S618" s="332"/>
      <c r="T618" s="332"/>
    </row>
    <row r="619" spans="1:20" x14ac:dyDescent="0.6">
      <c r="A619" s="334"/>
      <c r="B619" s="610"/>
      <c r="C619" s="365"/>
      <c r="D619" s="364"/>
      <c r="E619" s="363"/>
      <c r="F619" s="363"/>
      <c r="G619" s="364"/>
      <c r="H619" s="363"/>
      <c r="I619" s="363"/>
      <c r="J619" s="364"/>
      <c r="K619" s="363"/>
      <c r="L619" s="363"/>
      <c r="M619" s="737"/>
      <c r="N619" s="332"/>
      <c r="O619" s="332"/>
      <c r="P619" s="332"/>
      <c r="Q619" s="332"/>
      <c r="R619" s="332"/>
      <c r="S619" s="332"/>
      <c r="T619" s="332"/>
    </row>
    <row r="620" spans="1:20" x14ac:dyDescent="0.6">
      <c r="A620" s="334"/>
      <c r="B620" s="610"/>
      <c r="C620" s="365"/>
      <c r="D620" s="364"/>
      <c r="E620" s="363"/>
      <c r="F620" s="363"/>
      <c r="G620" s="364"/>
      <c r="H620" s="363"/>
      <c r="I620" s="363"/>
      <c r="J620" s="364"/>
      <c r="K620" s="363"/>
      <c r="L620" s="363"/>
      <c r="M620" s="737"/>
      <c r="N620" s="332"/>
      <c r="O620" s="332"/>
      <c r="P620" s="332"/>
      <c r="Q620" s="332"/>
      <c r="R620" s="332"/>
      <c r="S620" s="332"/>
      <c r="T620" s="332"/>
    </row>
    <row r="621" spans="1:20" x14ac:dyDescent="0.6">
      <c r="A621" s="334"/>
      <c r="B621" s="610"/>
      <c r="C621" s="365"/>
      <c r="D621" s="364"/>
      <c r="E621" s="363"/>
      <c r="F621" s="363"/>
      <c r="G621" s="364"/>
      <c r="H621" s="363"/>
      <c r="I621" s="363"/>
      <c r="J621" s="364"/>
      <c r="K621" s="363"/>
      <c r="L621" s="363"/>
      <c r="M621" s="737"/>
      <c r="N621" s="332"/>
      <c r="O621" s="332"/>
      <c r="P621" s="332"/>
      <c r="Q621" s="332"/>
      <c r="R621" s="332"/>
      <c r="S621" s="332"/>
      <c r="T621" s="332"/>
    </row>
    <row r="622" spans="1:20" x14ac:dyDescent="0.6">
      <c r="A622" s="334"/>
      <c r="B622" s="610"/>
      <c r="C622" s="365"/>
      <c r="D622" s="364"/>
      <c r="E622" s="363"/>
      <c r="F622" s="363"/>
      <c r="G622" s="364"/>
      <c r="H622" s="363"/>
      <c r="I622" s="363"/>
      <c r="J622" s="364"/>
      <c r="K622" s="363"/>
      <c r="L622" s="363"/>
      <c r="M622" s="737"/>
      <c r="N622" s="332"/>
      <c r="O622" s="332"/>
      <c r="P622" s="332"/>
      <c r="Q622" s="332"/>
      <c r="R622" s="332"/>
      <c r="S622" s="332"/>
      <c r="T622" s="332"/>
    </row>
    <row r="623" spans="1:20" x14ac:dyDescent="0.6">
      <c r="A623" s="334"/>
      <c r="B623" s="610"/>
      <c r="C623" s="365"/>
      <c r="D623" s="364"/>
      <c r="E623" s="363"/>
      <c r="F623" s="363"/>
      <c r="G623" s="364"/>
      <c r="H623" s="363"/>
      <c r="I623" s="363"/>
      <c r="J623" s="364"/>
      <c r="K623" s="363"/>
      <c r="L623" s="363"/>
      <c r="M623" s="737"/>
      <c r="N623" s="332"/>
      <c r="O623" s="332"/>
      <c r="P623" s="332"/>
      <c r="Q623" s="332"/>
      <c r="R623" s="332"/>
      <c r="S623" s="332"/>
      <c r="T623" s="332"/>
    </row>
    <row r="624" spans="1:20" x14ac:dyDescent="0.6">
      <c r="A624" s="334"/>
      <c r="B624" s="610"/>
      <c r="C624" s="365"/>
      <c r="D624" s="364"/>
      <c r="E624" s="363"/>
      <c r="F624" s="363"/>
      <c r="G624" s="364"/>
      <c r="H624" s="363"/>
      <c r="I624" s="363"/>
      <c r="J624" s="364"/>
      <c r="K624" s="363"/>
      <c r="L624" s="363"/>
      <c r="M624" s="737"/>
      <c r="N624" s="332"/>
      <c r="O624" s="332"/>
      <c r="P624" s="332"/>
      <c r="Q624" s="332"/>
      <c r="R624" s="332"/>
      <c r="S624" s="332"/>
      <c r="T624" s="332"/>
    </row>
    <row r="625" spans="1:20" x14ac:dyDescent="0.6">
      <c r="A625" s="334"/>
      <c r="B625" s="610"/>
      <c r="C625" s="365"/>
      <c r="D625" s="364"/>
      <c r="E625" s="363"/>
      <c r="F625" s="363"/>
      <c r="G625" s="364"/>
      <c r="H625" s="363"/>
      <c r="I625" s="363"/>
      <c r="J625" s="364"/>
      <c r="K625" s="363"/>
      <c r="L625" s="363"/>
      <c r="M625" s="737"/>
      <c r="N625" s="332"/>
      <c r="O625" s="332"/>
      <c r="P625" s="332"/>
      <c r="Q625" s="332"/>
      <c r="R625" s="332"/>
      <c r="S625" s="332"/>
      <c r="T625" s="332"/>
    </row>
    <row r="626" spans="1:20" x14ac:dyDescent="0.6">
      <c r="A626" s="334"/>
      <c r="B626" s="610"/>
      <c r="C626" s="365"/>
      <c r="D626" s="364"/>
      <c r="E626" s="363"/>
      <c r="F626" s="363"/>
      <c r="G626" s="364"/>
      <c r="H626" s="363"/>
      <c r="I626" s="363"/>
      <c r="J626" s="364"/>
      <c r="K626" s="363"/>
      <c r="L626" s="363"/>
      <c r="M626" s="737"/>
      <c r="N626" s="332"/>
      <c r="O626" s="332"/>
      <c r="P626" s="332"/>
      <c r="Q626" s="332"/>
      <c r="R626" s="332"/>
      <c r="S626" s="332"/>
      <c r="T626" s="332"/>
    </row>
    <row r="627" spans="1:20" x14ac:dyDescent="0.6">
      <c r="A627" s="334"/>
      <c r="B627" s="610"/>
      <c r="C627" s="365"/>
      <c r="D627" s="364"/>
      <c r="E627" s="363"/>
      <c r="F627" s="363"/>
      <c r="G627" s="364"/>
      <c r="H627" s="363"/>
      <c r="I627" s="363"/>
      <c r="J627" s="364"/>
      <c r="K627" s="363"/>
      <c r="L627" s="363"/>
      <c r="M627" s="737"/>
      <c r="N627" s="332"/>
      <c r="O627" s="332"/>
      <c r="P627" s="332"/>
      <c r="Q627" s="332"/>
      <c r="R627" s="332"/>
      <c r="S627" s="332"/>
      <c r="T627" s="332"/>
    </row>
    <row r="628" spans="1:20" x14ac:dyDescent="0.6">
      <c r="A628" s="334"/>
      <c r="B628" s="610"/>
      <c r="C628" s="365"/>
      <c r="D628" s="364"/>
      <c r="E628" s="363"/>
      <c r="F628" s="363"/>
      <c r="G628" s="364"/>
      <c r="H628" s="363"/>
      <c r="I628" s="363"/>
      <c r="J628" s="364"/>
      <c r="K628" s="363"/>
      <c r="L628" s="363"/>
      <c r="M628" s="737"/>
      <c r="N628" s="332"/>
      <c r="O628" s="332"/>
      <c r="P628" s="332"/>
      <c r="Q628" s="332"/>
      <c r="R628" s="332"/>
      <c r="S628" s="332"/>
      <c r="T628" s="332"/>
    </row>
    <row r="629" spans="1:20" x14ac:dyDescent="0.6">
      <c r="A629" s="334"/>
      <c r="B629" s="610"/>
      <c r="C629" s="365"/>
      <c r="D629" s="364"/>
      <c r="E629" s="363"/>
      <c r="F629" s="363"/>
      <c r="G629" s="364"/>
      <c r="H629" s="363"/>
      <c r="I629" s="363"/>
      <c r="J629" s="364"/>
      <c r="K629" s="363"/>
      <c r="L629" s="363"/>
      <c r="M629" s="737"/>
      <c r="N629" s="332"/>
      <c r="O629" s="332"/>
      <c r="P629" s="332"/>
      <c r="Q629" s="332"/>
      <c r="R629" s="332"/>
      <c r="S629" s="332"/>
      <c r="T629" s="332"/>
    </row>
    <row r="630" spans="1:20" x14ac:dyDescent="0.6">
      <c r="A630" s="334"/>
      <c r="B630" s="610"/>
      <c r="C630" s="365"/>
      <c r="D630" s="364"/>
      <c r="E630" s="363"/>
      <c r="F630" s="363"/>
      <c r="G630" s="364"/>
      <c r="H630" s="363"/>
      <c r="I630" s="363"/>
      <c r="J630" s="364"/>
      <c r="K630" s="363"/>
      <c r="L630" s="363"/>
      <c r="M630" s="737"/>
      <c r="N630" s="332"/>
      <c r="O630" s="332"/>
      <c r="P630" s="332"/>
      <c r="Q630" s="332"/>
      <c r="R630" s="332"/>
      <c r="S630" s="332"/>
      <c r="T630" s="332"/>
    </row>
    <row r="631" spans="1:20" x14ac:dyDescent="0.6">
      <c r="A631" s="334"/>
      <c r="B631" s="610"/>
      <c r="C631" s="365"/>
      <c r="D631" s="364"/>
      <c r="E631" s="363"/>
      <c r="F631" s="363"/>
      <c r="G631" s="364"/>
      <c r="H631" s="363"/>
      <c r="I631" s="363"/>
      <c r="J631" s="364"/>
      <c r="K631" s="363"/>
      <c r="L631" s="363"/>
      <c r="M631" s="737"/>
      <c r="N631" s="332"/>
      <c r="O631" s="332"/>
      <c r="P631" s="332"/>
      <c r="Q631" s="332"/>
      <c r="R631" s="332"/>
      <c r="S631" s="332"/>
      <c r="T631" s="332"/>
    </row>
    <row r="632" spans="1:20" x14ac:dyDescent="0.6">
      <c r="A632" s="334"/>
      <c r="B632" s="610"/>
      <c r="C632" s="365"/>
      <c r="D632" s="364"/>
      <c r="E632" s="363"/>
      <c r="F632" s="363"/>
      <c r="G632" s="364"/>
      <c r="H632" s="363"/>
      <c r="I632" s="363"/>
      <c r="J632" s="364"/>
      <c r="K632" s="363"/>
      <c r="L632" s="363"/>
      <c r="M632" s="737"/>
      <c r="N632" s="332"/>
      <c r="O632" s="332"/>
      <c r="P632" s="332"/>
      <c r="Q632" s="332"/>
      <c r="R632" s="332"/>
      <c r="S632" s="332"/>
      <c r="T632" s="332"/>
    </row>
    <row r="633" spans="1:20" x14ac:dyDescent="0.6">
      <c r="A633" s="334"/>
      <c r="B633" s="610"/>
      <c r="C633" s="365"/>
      <c r="D633" s="364"/>
      <c r="E633" s="363"/>
      <c r="F633" s="363"/>
      <c r="G633" s="364"/>
      <c r="H633" s="363"/>
      <c r="I633" s="363"/>
      <c r="J633" s="364"/>
      <c r="K633" s="363"/>
      <c r="L633" s="363"/>
      <c r="M633" s="737"/>
      <c r="N633" s="332"/>
      <c r="O633" s="332"/>
      <c r="P633" s="332"/>
      <c r="Q633" s="332"/>
      <c r="R633" s="332"/>
      <c r="S633" s="332"/>
      <c r="T633" s="332"/>
    </row>
    <row r="634" spans="1:20" x14ac:dyDescent="0.6">
      <c r="A634" s="334"/>
      <c r="B634" s="610"/>
      <c r="C634" s="365"/>
      <c r="D634" s="364"/>
      <c r="E634" s="363"/>
      <c r="F634" s="363"/>
      <c r="G634" s="364"/>
      <c r="H634" s="363"/>
      <c r="I634" s="363"/>
      <c r="J634" s="364"/>
      <c r="K634" s="363"/>
      <c r="L634" s="363"/>
      <c r="M634" s="737"/>
      <c r="N634" s="332"/>
      <c r="O634" s="332"/>
      <c r="P634" s="332"/>
      <c r="Q634" s="332"/>
      <c r="R634" s="332"/>
      <c r="S634" s="332"/>
      <c r="T634" s="332"/>
    </row>
    <row r="635" spans="1:20" x14ac:dyDescent="0.6">
      <c r="A635" s="334"/>
      <c r="B635" s="610"/>
      <c r="C635" s="365"/>
      <c r="D635" s="364"/>
      <c r="E635" s="363"/>
      <c r="F635" s="363"/>
      <c r="G635" s="364"/>
      <c r="H635" s="363"/>
      <c r="I635" s="363"/>
      <c r="J635" s="364"/>
      <c r="K635" s="363"/>
      <c r="L635" s="363"/>
      <c r="M635" s="737"/>
      <c r="N635" s="332"/>
      <c r="O635" s="332"/>
      <c r="P635" s="332"/>
      <c r="Q635" s="332"/>
      <c r="R635" s="332"/>
      <c r="S635" s="332"/>
      <c r="T635" s="332"/>
    </row>
    <row r="636" spans="1:20" x14ac:dyDescent="0.6">
      <c r="A636" s="334"/>
      <c r="B636" s="610"/>
      <c r="C636" s="365"/>
      <c r="D636" s="364"/>
      <c r="E636" s="363"/>
      <c r="F636" s="363"/>
      <c r="G636" s="364"/>
      <c r="H636" s="363"/>
      <c r="I636" s="363"/>
      <c r="J636" s="364"/>
      <c r="K636" s="363"/>
      <c r="L636" s="363"/>
      <c r="M636" s="737"/>
      <c r="N636" s="332"/>
      <c r="O636" s="332"/>
      <c r="P636" s="332"/>
      <c r="Q636" s="332"/>
      <c r="R636" s="332"/>
      <c r="S636" s="332"/>
      <c r="T636" s="332"/>
    </row>
    <row r="637" spans="1:20" x14ac:dyDescent="0.6">
      <c r="A637" s="334"/>
      <c r="B637" s="610"/>
      <c r="C637" s="365"/>
      <c r="D637" s="364"/>
      <c r="E637" s="363"/>
      <c r="F637" s="363"/>
      <c r="G637" s="364"/>
      <c r="H637" s="363"/>
      <c r="I637" s="363"/>
      <c r="J637" s="364"/>
      <c r="K637" s="363"/>
      <c r="L637" s="363"/>
      <c r="M637" s="737"/>
      <c r="N637" s="332"/>
      <c r="O637" s="332"/>
      <c r="P637" s="332"/>
      <c r="Q637" s="332"/>
      <c r="R637" s="332"/>
      <c r="S637" s="332"/>
      <c r="T637" s="332"/>
    </row>
    <row r="638" spans="1:20" x14ac:dyDescent="0.6">
      <c r="A638" s="334"/>
      <c r="B638" s="610"/>
      <c r="C638" s="365"/>
      <c r="D638" s="364"/>
      <c r="E638" s="363"/>
      <c r="F638" s="363"/>
      <c r="G638" s="364"/>
      <c r="H638" s="363"/>
      <c r="I638" s="363"/>
      <c r="J638" s="364"/>
      <c r="K638" s="363"/>
      <c r="L638" s="363"/>
      <c r="M638" s="737"/>
      <c r="N638" s="332"/>
      <c r="O638" s="332"/>
      <c r="P638" s="332"/>
      <c r="Q638" s="332"/>
      <c r="R638" s="332"/>
      <c r="S638" s="332"/>
      <c r="T638" s="332"/>
    </row>
    <row r="639" spans="1:20" x14ac:dyDescent="0.6">
      <c r="A639" s="334"/>
      <c r="B639" s="610"/>
      <c r="C639" s="365"/>
      <c r="D639" s="364"/>
      <c r="E639" s="363"/>
      <c r="F639" s="363"/>
      <c r="G639" s="364"/>
      <c r="H639" s="363"/>
      <c r="I639" s="363"/>
      <c r="J639" s="364"/>
      <c r="K639" s="363"/>
      <c r="L639" s="363"/>
      <c r="M639" s="737"/>
      <c r="N639" s="332"/>
      <c r="O639" s="332"/>
      <c r="P639" s="332"/>
      <c r="Q639" s="332"/>
      <c r="R639" s="332"/>
      <c r="S639" s="332"/>
      <c r="T639" s="332"/>
    </row>
    <row r="640" spans="1:20" x14ac:dyDescent="0.6">
      <c r="A640" s="334"/>
      <c r="B640" s="610"/>
      <c r="C640" s="365"/>
      <c r="D640" s="364"/>
      <c r="E640" s="363"/>
      <c r="F640" s="363"/>
      <c r="G640" s="364"/>
      <c r="H640" s="363"/>
      <c r="I640" s="363"/>
      <c r="J640" s="364"/>
      <c r="K640" s="363"/>
      <c r="L640" s="363"/>
      <c r="M640" s="737"/>
      <c r="N640" s="332"/>
      <c r="O640" s="332"/>
      <c r="P640" s="332"/>
      <c r="Q640" s="332"/>
      <c r="R640" s="332"/>
      <c r="S640" s="332"/>
      <c r="T640" s="332"/>
    </row>
    <row r="641" spans="1:20" x14ac:dyDescent="0.6">
      <c r="A641" s="334"/>
      <c r="B641" s="610"/>
      <c r="C641" s="365"/>
      <c r="D641" s="364"/>
      <c r="E641" s="363"/>
      <c r="F641" s="363"/>
      <c r="G641" s="364"/>
      <c r="H641" s="363"/>
      <c r="I641" s="363"/>
      <c r="J641" s="364"/>
      <c r="K641" s="363"/>
      <c r="L641" s="363"/>
      <c r="M641" s="737"/>
      <c r="N641" s="332"/>
      <c r="O641" s="332"/>
      <c r="P641" s="332"/>
      <c r="Q641" s="332"/>
      <c r="R641" s="332"/>
      <c r="S641" s="332"/>
      <c r="T641" s="332"/>
    </row>
    <row r="642" spans="1:20" x14ac:dyDescent="0.6">
      <c r="A642" s="334"/>
      <c r="B642" s="610"/>
      <c r="C642" s="365"/>
      <c r="D642" s="364"/>
      <c r="E642" s="363"/>
      <c r="F642" s="363"/>
      <c r="G642" s="364"/>
      <c r="H642" s="363"/>
      <c r="I642" s="363"/>
      <c r="J642" s="364"/>
      <c r="K642" s="363"/>
      <c r="L642" s="363"/>
      <c r="M642" s="737"/>
      <c r="N642" s="332"/>
      <c r="O642" s="332"/>
      <c r="P642" s="332"/>
      <c r="Q642" s="332"/>
      <c r="R642" s="332"/>
      <c r="S642" s="332"/>
      <c r="T642" s="332"/>
    </row>
    <row r="643" spans="1:20" x14ac:dyDescent="0.6">
      <c r="A643" s="334"/>
      <c r="B643" s="610"/>
      <c r="C643" s="365"/>
      <c r="D643" s="364"/>
      <c r="E643" s="363"/>
      <c r="F643" s="363"/>
      <c r="G643" s="364"/>
      <c r="H643" s="363"/>
      <c r="I643" s="363"/>
      <c r="J643" s="364"/>
      <c r="K643" s="363"/>
      <c r="L643" s="363"/>
      <c r="M643" s="737"/>
      <c r="N643" s="332"/>
      <c r="O643" s="332"/>
      <c r="P643" s="332"/>
      <c r="Q643" s="332"/>
      <c r="R643" s="332"/>
      <c r="S643" s="332"/>
      <c r="T643" s="332"/>
    </row>
    <row r="644" spans="1:20" x14ac:dyDescent="0.6">
      <c r="A644" s="334"/>
      <c r="B644" s="610"/>
      <c r="C644" s="365"/>
      <c r="D644" s="364"/>
      <c r="E644" s="363"/>
      <c r="F644" s="363"/>
      <c r="G644" s="364"/>
      <c r="H644" s="363"/>
      <c r="I644" s="363"/>
      <c r="J644" s="364"/>
      <c r="K644" s="363"/>
      <c r="L644" s="363"/>
      <c r="M644" s="737"/>
      <c r="N644" s="332"/>
      <c r="O644" s="332"/>
      <c r="P644" s="332"/>
      <c r="Q644" s="332"/>
      <c r="R644" s="332"/>
      <c r="S644" s="332"/>
      <c r="T644" s="332"/>
    </row>
    <row r="645" spans="1:20" x14ac:dyDescent="0.6">
      <c r="A645" s="334"/>
      <c r="B645" s="610"/>
      <c r="C645" s="365"/>
      <c r="D645" s="364"/>
      <c r="E645" s="363"/>
      <c r="F645" s="363"/>
      <c r="G645" s="364"/>
      <c r="H645" s="363"/>
      <c r="I645" s="363"/>
      <c r="J645" s="364"/>
      <c r="K645" s="363"/>
      <c r="L645" s="363"/>
      <c r="M645" s="737"/>
      <c r="N645" s="332"/>
      <c r="O645" s="332"/>
      <c r="P645" s="332"/>
      <c r="Q645" s="332"/>
      <c r="R645" s="332"/>
      <c r="S645" s="332"/>
      <c r="T645" s="332"/>
    </row>
    <row r="646" spans="1:20" x14ac:dyDescent="0.6">
      <c r="A646" s="334"/>
      <c r="B646" s="610"/>
      <c r="C646" s="365"/>
      <c r="D646" s="364"/>
      <c r="E646" s="363"/>
      <c r="F646" s="363"/>
      <c r="G646" s="364"/>
      <c r="H646" s="363"/>
      <c r="I646" s="363"/>
      <c r="J646" s="364"/>
      <c r="K646" s="363"/>
      <c r="L646" s="363"/>
      <c r="M646" s="737"/>
      <c r="N646" s="332"/>
      <c r="O646" s="332"/>
      <c r="P646" s="332"/>
      <c r="Q646" s="332"/>
      <c r="R646" s="332"/>
      <c r="S646" s="332"/>
      <c r="T646" s="332"/>
    </row>
    <row r="647" spans="1:20" x14ac:dyDescent="0.6">
      <c r="A647" s="334"/>
      <c r="B647" s="610"/>
      <c r="C647" s="365"/>
      <c r="D647" s="364"/>
      <c r="E647" s="363"/>
      <c r="F647" s="363"/>
      <c r="G647" s="364"/>
      <c r="H647" s="363"/>
      <c r="I647" s="363"/>
      <c r="J647" s="364"/>
      <c r="K647" s="363"/>
      <c r="L647" s="363"/>
      <c r="M647" s="737"/>
      <c r="N647" s="332"/>
      <c r="O647" s="332"/>
      <c r="P647" s="332"/>
      <c r="Q647" s="332"/>
      <c r="R647" s="332"/>
      <c r="S647" s="332"/>
      <c r="T647" s="332"/>
    </row>
    <row r="648" spans="1:20" x14ac:dyDescent="0.6">
      <c r="A648" s="334"/>
      <c r="B648" s="610"/>
      <c r="C648" s="365"/>
      <c r="D648" s="364"/>
      <c r="E648" s="363"/>
      <c r="F648" s="363"/>
      <c r="G648" s="364"/>
      <c r="H648" s="363"/>
      <c r="I648" s="363"/>
      <c r="J648" s="364"/>
      <c r="K648" s="363"/>
      <c r="L648" s="363"/>
      <c r="M648" s="737"/>
      <c r="N648" s="332"/>
      <c r="O648" s="332"/>
      <c r="P648" s="332"/>
      <c r="Q648" s="332"/>
      <c r="R648" s="332"/>
      <c r="S648" s="332"/>
      <c r="T648" s="332"/>
    </row>
    <row r="649" spans="1:20" x14ac:dyDescent="0.6">
      <c r="A649" s="334"/>
      <c r="B649" s="610"/>
      <c r="C649" s="365"/>
      <c r="D649" s="364"/>
      <c r="E649" s="363"/>
      <c r="F649" s="363"/>
      <c r="G649" s="364"/>
      <c r="H649" s="363"/>
      <c r="I649" s="363"/>
      <c r="J649" s="364"/>
      <c r="K649" s="363"/>
      <c r="L649" s="363"/>
      <c r="M649" s="737"/>
      <c r="N649" s="332"/>
      <c r="O649" s="332"/>
      <c r="P649" s="332"/>
      <c r="Q649" s="332"/>
      <c r="R649" s="332"/>
      <c r="S649" s="332"/>
      <c r="T649" s="332"/>
    </row>
    <row r="650" spans="1:20" x14ac:dyDescent="0.6">
      <c r="A650" s="334"/>
      <c r="B650" s="610"/>
      <c r="C650" s="365"/>
      <c r="D650" s="364"/>
      <c r="E650" s="363"/>
      <c r="F650" s="363"/>
      <c r="G650" s="364"/>
      <c r="H650" s="363"/>
      <c r="I650" s="363"/>
      <c r="J650" s="364"/>
      <c r="K650" s="363"/>
      <c r="L650" s="363"/>
      <c r="M650" s="737"/>
      <c r="N650" s="332"/>
      <c r="O650" s="332"/>
      <c r="P650" s="332"/>
      <c r="Q650" s="332"/>
      <c r="R650" s="332"/>
      <c r="S650" s="332"/>
      <c r="T650" s="332"/>
    </row>
    <row r="651" spans="1:20" x14ac:dyDescent="0.6">
      <c r="A651" s="334"/>
      <c r="B651" s="610"/>
      <c r="C651" s="365"/>
      <c r="D651" s="364"/>
      <c r="E651" s="363"/>
      <c r="F651" s="363"/>
      <c r="G651" s="364"/>
      <c r="H651" s="363"/>
      <c r="I651" s="363"/>
      <c r="J651" s="364"/>
      <c r="K651" s="363"/>
      <c r="L651" s="363"/>
      <c r="M651" s="737"/>
      <c r="N651" s="332"/>
      <c r="O651" s="332"/>
      <c r="P651" s="332"/>
      <c r="Q651" s="332"/>
      <c r="R651" s="332"/>
      <c r="S651" s="332"/>
      <c r="T651" s="332"/>
    </row>
    <row r="652" spans="1:20" x14ac:dyDescent="0.6">
      <c r="A652" s="334"/>
      <c r="B652" s="610"/>
      <c r="C652" s="365"/>
      <c r="D652" s="364"/>
      <c r="E652" s="363"/>
      <c r="F652" s="363"/>
      <c r="G652" s="364"/>
      <c r="H652" s="363"/>
      <c r="I652" s="363"/>
      <c r="J652" s="364"/>
      <c r="K652" s="363"/>
      <c r="L652" s="363"/>
      <c r="M652" s="737"/>
      <c r="N652" s="332"/>
      <c r="O652" s="332"/>
      <c r="P652" s="332"/>
      <c r="Q652" s="332"/>
      <c r="R652" s="332"/>
      <c r="S652" s="332"/>
      <c r="T652" s="332"/>
    </row>
    <row r="653" spans="1:20" x14ac:dyDescent="0.6">
      <c r="A653" s="334"/>
      <c r="B653" s="610"/>
      <c r="C653" s="365"/>
      <c r="D653" s="364"/>
      <c r="E653" s="363"/>
      <c r="F653" s="363"/>
      <c r="G653" s="364"/>
      <c r="H653" s="363"/>
      <c r="I653" s="363"/>
      <c r="J653" s="364"/>
      <c r="K653" s="363"/>
      <c r="L653" s="363"/>
      <c r="M653" s="737"/>
      <c r="N653" s="332"/>
      <c r="O653" s="332"/>
      <c r="P653" s="332"/>
      <c r="Q653" s="332"/>
      <c r="R653" s="332"/>
      <c r="S653" s="332"/>
      <c r="T653" s="332"/>
    </row>
    <row r="654" spans="1:20" x14ac:dyDescent="0.6">
      <c r="A654" s="334"/>
      <c r="B654" s="610"/>
      <c r="C654" s="365"/>
      <c r="D654" s="364"/>
      <c r="E654" s="363"/>
      <c r="F654" s="363"/>
      <c r="G654" s="364"/>
      <c r="H654" s="363"/>
      <c r="I654" s="363"/>
      <c r="J654" s="364"/>
      <c r="K654" s="363"/>
      <c r="L654" s="363"/>
      <c r="M654" s="737"/>
      <c r="N654" s="332"/>
      <c r="O654" s="332"/>
      <c r="P654" s="332"/>
      <c r="Q654" s="332"/>
      <c r="R654" s="332"/>
      <c r="S654" s="332"/>
      <c r="T654" s="332"/>
    </row>
    <row r="655" spans="1:20" x14ac:dyDescent="0.6">
      <c r="A655" s="334"/>
      <c r="B655" s="610"/>
      <c r="C655" s="365"/>
      <c r="D655" s="364"/>
      <c r="E655" s="363"/>
      <c r="F655" s="363"/>
      <c r="G655" s="364"/>
      <c r="H655" s="363"/>
      <c r="I655" s="363"/>
      <c r="J655" s="364"/>
      <c r="K655" s="363"/>
      <c r="L655" s="363"/>
      <c r="M655" s="737"/>
      <c r="N655" s="332"/>
      <c r="O655" s="332"/>
      <c r="P655" s="332"/>
      <c r="Q655" s="332"/>
      <c r="R655" s="332"/>
      <c r="S655" s="332"/>
      <c r="T655" s="332"/>
    </row>
    <row r="656" spans="1:20" x14ac:dyDescent="0.6">
      <c r="A656" s="334"/>
      <c r="B656" s="610"/>
      <c r="C656" s="365"/>
      <c r="D656" s="364"/>
      <c r="E656" s="363"/>
      <c r="F656" s="363"/>
      <c r="G656" s="364"/>
      <c r="H656" s="363"/>
      <c r="I656" s="363"/>
      <c r="J656" s="364"/>
      <c r="K656" s="363"/>
      <c r="L656" s="363"/>
      <c r="M656" s="737"/>
      <c r="N656" s="332"/>
      <c r="O656" s="332"/>
      <c r="P656" s="332"/>
      <c r="Q656" s="332"/>
      <c r="R656" s="332"/>
      <c r="S656" s="332"/>
      <c r="T656" s="332"/>
    </row>
    <row r="657" spans="1:20" x14ac:dyDescent="0.6">
      <c r="A657" s="334"/>
      <c r="B657" s="610"/>
      <c r="C657" s="365"/>
      <c r="D657" s="364"/>
      <c r="E657" s="363"/>
      <c r="F657" s="363"/>
      <c r="G657" s="364"/>
      <c r="H657" s="363"/>
      <c r="I657" s="363"/>
      <c r="J657" s="364"/>
      <c r="K657" s="363"/>
      <c r="L657" s="363"/>
      <c r="M657" s="737"/>
      <c r="N657" s="332"/>
      <c r="O657" s="332"/>
      <c r="P657" s="332"/>
      <c r="Q657" s="332"/>
      <c r="R657" s="332"/>
      <c r="S657" s="332"/>
      <c r="T657" s="332"/>
    </row>
    <row r="658" spans="1:20" x14ac:dyDescent="0.6">
      <c r="A658" s="334"/>
      <c r="B658" s="610"/>
      <c r="C658" s="365"/>
      <c r="D658" s="364"/>
      <c r="E658" s="363"/>
      <c r="F658" s="363"/>
      <c r="G658" s="364"/>
      <c r="H658" s="363"/>
      <c r="I658" s="363"/>
      <c r="J658" s="364"/>
      <c r="K658" s="363"/>
      <c r="L658" s="363"/>
      <c r="M658" s="737"/>
      <c r="N658" s="332"/>
      <c r="O658" s="332"/>
      <c r="P658" s="332"/>
      <c r="Q658" s="332"/>
      <c r="R658" s="332"/>
      <c r="S658" s="332"/>
      <c r="T658" s="332"/>
    </row>
    <row r="659" spans="1:20" x14ac:dyDescent="0.6">
      <c r="A659" s="334"/>
      <c r="B659" s="610"/>
      <c r="C659" s="365"/>
      <c r="D659" s="364"/>
      <c r="E659" s="363"/>
      <c r="F659" s="363"/>
      <c r="G659" s="364"/>
      <c r="H659" s="363"/>
      <c r="I659" s="363"/>
      <c r="J659" s="364"/>
      <c r="K659" s="363"/>
      <c r="L659" s="363"/>
      <c r="M659" s="737"/>
      <c r="N659" s="332"/>
      <c r="O659" s="332"/>
      <c r="P659" s="332"/>
      <c r="Q659" s="332"/>
      <c r="R659" s="332"/>
      <c r="S659" s="332"/>
      <c r="T659" s="332"/>
    </row>
    <row r="660" spans="1:20" x14ac:dyDescent="0.6">
      <c r="A660" s="334"/>
      <c r="B660" s="610"/>
      <c r="C660" s="365"/>
      <c r="D660" s="364"/>
      <c r="E660" s="363"/>
      <c r="F660" s="363"/>
      <c r="G660" s="364"/>
      <c r="H660" s="363"/>
      <c r="I660" s="363"/>
      <c r="J660" s="364"/>
      <c r="K660" s="363"/>
      <c r="L660" s="363"/>
      <c r="M660" s="737"/>
      <c r="N660" s="332"/>
      <c r="O660" s="332"/>
      <c r="P660" s="332"/>
      <c r="Q660" s="332"/>
      <c r="R660" s="332"/>
      <c r="S660" s="332"/>
      <c r="T660" s="332"/>
    </row>
    <row r="661" spans="1:20" x14ac:dyDescent="0.6">
      <c r="A661" s="334"/>
      <c r="B661" s="610"/>
      <c r="C661" s="365"/>
      <c r="D661" s="364"/>
      <c r="E661" s="363"/>
      <c r="F661" s="363"/>
      <c r="G661" s="364"/>
      <c r="H661" s="363"/>
      <c r="I661" s="363"/>
      <c r="J661" s="364"/>
      <c r="K661" s="363"/>
      <c r="L661" s="363"/>
      <c r="M661" s="737"/>
      <c r="N661" s="332"/>
      <c r="O661" s="332"/>
      <c r="P661" s="332"/>
      <c r="Q661" s="332"/>
      <c r="R661" s="332"/>
      <c r="S661" s="332"/>
      <c r="T661" s="332"/>
    </row>
    <row r="662" spans="1:20" x14ac:dyDescent="0.6">
      <c r="A662" s="334"/>
      <c r="B662" s="610"/>
      <c r="C662" s="365"/>
      <c r="D662" s="364"/>
      <c r="E662" s="363"/>
      <c r="F662" s="363"/>
      <c r="G662" s="364"/>
      <c r="H662" s="363"/>
      <c r="I662" s="363"/>
      <c r="J662" s="364"/>
      <c r="K662" s="363"/>
      <c r="L662" s="363"/>
      <c r="M662" s="737"/>
      <c r="N662" s="332"/>
      <c r="O662" s="332"/>
      <c r="P662" s="332"/>
      <c r="Q662" s="332"/>
      <c r="R662" s="332"/>
      <c r="S662" s="332"/>
      <c r="T662" s="332"/>
    </row>
    <row r="663" spans="1:20" x14ac:dyDescent="0.6">
      <c r="A663" s="334"/>
      <c r="B663" s="610"/>
      <c r="C663" s="365"/>
      <c r="D663" s="364"/>
      <c r="E663" s="363"/>
      <c r="F663" s="363"/>
      <c r="G663" s="364"/>
      <c r="H663" s="363"/>
      <c r="I663" s="363"/>
      <c r="J663" s="364"/>
      <c r="K663" s="363"/>
      <c r="L663" s="363"/>
      <c r="M663" s="737"/>
      <c r="N663" s="332"/>
      <c r="O663" s="332"/>
      <c r="P663" s="332"/>
      <c r="Q663" s="332"/>
      <c r="R663" s="332"/>
      <c r="S663" s="332"/>
      <c r="T663" s="332"/>
    </row>
    <row r="664" spans="1:20" x14ac:dyDescent="0.6">
      <c r="A664" s="334"/>
      <c r="B664" s="610"/>
      <c r="C664" s="365"/>
      <c r="D664" s="364"/>
      <c r="E664" s="363"/>
      <c r="F664" s="363"/>
      <c r="G664" s="364"/>
      <c r="H664" s="363"/>
      <c r="I664" s="363"/>
      <c r="J664" s="364"/>
      <c r="K664" s="363"/>
      <c r="L664" s="363"/>
      <c r="M664" s="737"/>
      <c r="N664" s="332"/>
      <c r="O664" s="332"/>
      <c r="P664" s="332"/>
      <c r="Q664" s="332"/>
      <c r="R664" s="332"/>
      <c r="S664" s="332"/>
      <c r="T664" s="332"/>
    </row>
    <row r="665" spans="1:20" x14ac:dyDescent="0.6">
      <c r="A665" s="334"/>
      <c r="B665" s="610"/>
      <c r="C665" s="365"/>
      <c r="D665" s="364"/>
      <c r="E665" s="363"/>
      <c r="F665" s="363"/>
      <c r="G665" s="364"/>
      <c r="H665" s="363"/>
      <c r="I665" s="363"/>
      <c r="J665" s="364"/>
      <c r="K665" s="363"/>
      <c r="L665" s="363"/>
      <c r="M665" s="737"/>
      <c r="N665" s="332"/>
      <c r="O665" s="332"/>
      <c r="P665" s="332"/>
      <c r="Q665" s="332"/>
      <c r="R665" s="332"/>
      <c r="S665" s="332"/>
      <c r="T665" s="332"/>
    </row>
    <row r="666" spans="1:20" x14ac:dyDescent="0.6">
      <c r="A666" s="334"/>
      <c r="B666" s="610"/>
      <c r="C666" s="365"/>
      <c r="D666" s="364"/>
      <c r="E666" s="363"/>
      <c r="F666" s="363"/>
      <c r="G666" s="364"/>
      <c r="H666" s="363"/>
      <c r="I666" s="363"/>
      <c r="J666" s="364"/>
      <c r="K666" s="363"/>
      <c r="L666" s="363"/>
      <c r="M666" s="737"/>
      <c r="N666" s="332"/>
      <c r="O666" s="332"/>
      <c r="P666" s="332"/>
      <c r="Q666" s="332"/>
      <c r="R666" s="332"/>
      <c r="S666" s="332"/>
      <c r="T666" s="332"/>
    </row>
    <row r="667" spans="1:20" x14ac:dyDescent="0.6">
      <c r="A667" s="334"/>
      <c r="B667" s="610"/>
      <c r="C667" s="365"/>
      <c r="D667" s="364"/>
      <c r="E667" s="363"/>
      <c r="F667" s="363"/>
      <c r="G667" s="364"/>
      <c r="H667" s="363"/>
      <c r="I667" s="363"/>
      <c r="J667" s="364"/>
      <c r="K667" s="363"/>
      <c r="L667" s="363"/>
      <c r="M667" s="737"/>
      <c r="N667" s="332"/>
      <c r="O667" s="332"/>
      <c r="P667" s="332"/>
      <c r="Q667" s="332"/>
      <c r="R667" s="332"/>
      <c r="S667" s="332"/>
      <c r="T667" s="332"/>
    </row>
    <row r="668" spans="1:20" x14ac:dyDescent="0.6">
      <c r="A668" s="334"/>
      <c r="B668" s="610"/>
      <c r="C668" s="365"/>
      <c r="D668" s="364"/>
      <c r="E668" s="363"/>
      <c r="F668" s="363"/>
      <c r="G668" s="364"/>
      <c r="H668" s="363"/>
      <c r="I668" s="363"/>
      <c r="J668" s="364"/>
      <c r="K668" s="363"/>
      <c r="L668" s="363"/>
      <c r="M668" s="737"/>
      <c r="N668" s="332"/>
      <c r="O668" s="332"/>
      <c r="P668" s="332"/>
      <c r="Q668" s="332"/>
      <c r="R668" s="332"/>
      <c r="S668" s="332"/>
      <c r="T668" s="332"/>
    </row>
    <row r="669" spans="1:20" x14ac:dyDescent="0.6">
      <c r="A669" s="334"/>
      <c r="B669" s="610"/>
      <c r="C669" s="365"/>
      <c r="D669" s="364"/>
      <c r="E669" s="363"/>
      <c r="F669" s="363"/>
      <c r="G669" s="364"/>
      <c r="H669" s="363"/>
      <c r="I669" s="363"/>
      <c r="J669" s="364"/>
      <c r="K669" s="363"/>
      <c r="L669" s="363"/>
      <c r="M669" s="737"/>
      <c r="N669" s="332"/>
      <c r="O669" s="332"/>
      <c r="P669" s="332"/>
      <c r="Q669" s="332"/>
      <c r="R669" s="332"/>
      <c r="S669" s="332"/>
      <c r="T669" s="332"/>
    </row>
    <row r="670" spans="1:20" x14ac:dyDescent="0.6">
      <c r="A670" s="334"/>
      <c r="B670" s="610"/>
      <c r="C670" s="365"/>
      <c r="D670" s="364"/>
      <c r="E670" s="363"/>
      <c r="F670" s="363"/>
      <c r="G670" s="364"/>
      <c r="H670" s="363"/>
      <c r="I670" s="363"/>
      <c r="J670" s="364"/>
      <c r="K670" s="363"/>
      <c r="L670" s="363"/>
      <c r="M670" s="737"/>
      <c r="N670" s="332"/>
      <c r="O670" s="332"/>
      <c r="P670" s="332"/>
      <c r="Q670" s="332"/>
      <c r="R670" s="332"/>
      <c r="S670" s="332"/>
      <c r="T670" s="332"/>
    </row>
    <row r="671" spans="1:20" x14ac:dyDescent="0.6">
      <c r="A671" s="334"/>
      <c r="B671" s="610"/>
      <c r="C671" s="365"/>
      <c r="D671" s="364"/>
      <c r="E671" s="363"/>
      <c r="F671" s="363"/>
      <c r="G671" s="364"/>
      <c r="H671" s="363"/>
      <c r="I671" s="363"/>
      <c r="J671" s="364"/>
      <c r="K671" s="363"/>
      <c r="L671" s="363"/>
      <c r="M671" s="737"/>
      <c r="N671" s="332"/>
      <c r="O671" s="332"/>
      <c r="P671" s="332"/>
      <c r="Q671" s="332"/>
      <c r="R671" s="332"/>
      <c r="S671" s="332"/>
      <c r="T671" s="332"/>
    </row>
    <row r="672" spans="1:20" x14ac:dyDescent="0.6">
      <c r="A672" s="334"/>
      <c r="B672" s="610"/>
      <c r="C672" s="365"/>
      <c r="D672" s="364"/>
      <c r="E672" s="363"/>
      <c r="F672" s="363"/>
      <c r="G672" s="364"/>
      <c r="H672" s="363"/>
      <c r="I672" s="363"/>
      <c r="J672" s="364"/>
      <c r="K672" s="363"/>
      <c r="L672" s="363"/>
      <c r="M672" s="737"/>
      <c r="N672" s="332"/>
      <c r="O672" s="332"/>
      <c r="P672" s="332"/>
      <c r="Q672" s="332"/>
      <c r="R672" s="332"/>
      <c r="S672" s="332"/>
      <c r="T672" s="332"/>
    </row>
    <row r="673" spans="1:20" x14ac:dyDescent="0.6">
      <c r="A673" s="334"/>
      <c r="B673" s="610"/>
      <c r="C673" s="365"/>
      <c r="D673" s="364"/>
      <c r="E673" s="363"/>
      <c r="F673" s="363"/>
      <c r="G673" s="364"/>
      <c r="H673" s="363"/>
      <c r="I673" s="363"/>
      <c r="J673" s="364"/>
      <c r="K673" s="363"/>
      <c r="L673" s="363"/>
      <c r="M673" s="737"/>
      <c r="N673" s="332"/>
      <c r="O673" s="332"/>
      <c r="P673" s="332"/>
      <c r="Q673" s="332"/>
      <c r="R673" s="332"/>
      <c r="S673" s="332"/>
      <c r="T673" s="332"/>
    </row>
    <row r="674" spans="1:20" x14ac:dyDescent="0.6">
      <c r="A674" s="334"/>
      <c r="B674" s="610"/>
      <c r="C674" s="365"/>
      <c r="D674" s="364"/>
      <c r="E674" s="363"/>
      <c r="F674" s="363"/>
      <c r="G674" s="364"/>
      <c r="H674" s="363"/>
      <c r="I674" s="363"/>
      <c r="J674" s="364"/>
      <c r="K674" s="363"/>
      <c r="L674" s="363"/>
      <c r="M674" s="737"/>
      <c r="N674" s="332"/>
      <c r="O674" s="332"/>
      <c r="P674" s="332"/>
      <c r="Q674" s="332"/>
      <c r="R674" s="332"/>
      <c r="S674" s="332"/>
      <c r="T674" s="332"/>
    </row>
    <row r="675" spans="1:20" x14ac:dyDescent="0.6">
      <c r="A675" s="334"/>
      <c r="B675" s="610"/>
      <c r="C675" s="365"/>
      <c r="D675" s="364"/>
      <c r="E675" s="363"/>
      <c r="F675" s="363"/>
      <c r="G675" s="364"/>
      <c r="H675" s="363"/>
      <c r="I675" s="363"/>
      <c r="J675" s="364"/>
      <c r="K675" s="363"/>
      <c r="L675" s="363"/>
      <c r="M675" s="737"/>
      <c r="N675" s="332"/>
      <c r="O675" s="332"/>
      <c r="P675" s="332"/>
      <c r="Q675" s="332"/>
      <c r="R675" s="332"/>
      <c r="S675" s="332"/>
      <c r="T675" s="332"/>
    </row>
    <row r="676" spans="1:20" x14ac:dyDescent="0.6">
      <c r="A676" s="334"/>
      <c r="B676" s="610"/>
      <c r="C676" s="365"/>
      <c r="D676" s="364"/>
      <c r="E676" s="363"/>
      <c r="F676" s="363"/>
      <c r="G676" s="364"/>
      <c r="H676" s="363"/>
      <c r="I676" s="363"/>
      <c r="J676" s="364"/>
      <c r="K676" s="363"/>
      <c r="L676" s="363"/>
      <c r="M676" s="737"/>
      <c r="N676" s="332"/>
      <c r="O676" s="332"/>
      <c r="P676" s="332"/>
      <c r="Q676" s="332"/>
      <c r="R676" s="332"/>
      <c r="S676" s="332"/>
      <c r="T676" s="332"/>
    </row>
    <row r="677" spans="1:20" x14ac:dyDescent="0.6">
      <c r="A677" s="334"/>
      <c r="B677" s="610"/>
      <c r="C677" s="365"/>
      <c r="D677" s="364"/>
      <c r="E677" s="363"/>
      <c r="F677" s="363"/>
      <c r="G677" s="364"/>
      <c r="H677" s="363"/>
      <c r="I677" s="363"/>
      <c r="J677" s="364"/>
      <c r="K677" s="363"/>
      <c r="L677" s="363"/>
      <c r="M677" s="737"/>
      <c r="N677" s="332"/>
      <c r="O677" s="332"/>
      <c r="P677" s="332"/>
      <c r="Q677" s="332"/>
      <c r="R677" s="332"/>
      <c r="S677" s="332"/>
      <c r="T677" s="332"/>
    </row>
    <row r="678" spans="1:20" x14ac:dyDescent="0.6">
      <c r="A678" s="334"/>
      <c r="B678" s="610"/>
      <c r="C678" s="365"/>
      <c r="D678" s="364"/>
      <c r="E678" s="363"/>
      <c r="F678" s="363"/>
      <c r="G678" s="364"/>
      <c r="H678" s="363"/>
      <c r="I678" s="363"/>
      <c r="J678" s="364"/>
      <c r="K678" s="363"/>
      <c r="L678" s="363"/>
      <c r="M678" s="737"/>
      <c r="N678" s="332"/>
      <c r="O678" s="332"/>
      <c r="P678" s="332"/>
      <c r="Q678" s="332"/>
      <c r="R678" s="332"/>
      <c r="S678" s="332"/>
      <c r="T678" s="332"/>
    </row>
    <row r="679" spans="1:20" x14ac:dyDescent="0.6">
      <c r="A679" s="334"/>
      <c r="B679" s="610"/>
      <c r="C679" s="365"/>
      <c r="D679" s="364"/>
      <c r="E679" s="363"/>
      <c r="F679" s="363"/>
      <c r="G679" s="364"/>
      <c r="H679" s="363"/>
      <c r="I679" s="363"/>
      <c r="J679" s="364"/>
      <c r="K679" s="363"/>
      <c r="L679" s="363"/>
      <c r="M679" s="737"/>
      <c r="N679" s="332"/>
      <c r="O679" s="332"/>
      <c r="P679" s="332"/>
      <c r="Q679" s="332"/>
      <c r="R679" s="332"/>
      <c r="S679" s="332"/>
      <c r="T679" s="332"/>
    </row>
    <row r="680" spans="1:20" x14ac:dyDescent="0.6">
      <c r="A680" s="334"/>
      <c r="B680" s="610"/>
      <c r="C680" s="365"/>
      <c r="D680" s="364"/>
      <c r="E680" s="363"/>
      <c r="F680" s="363"/>
      <c r="G680" s="364"/>
      <c r="H680" s="363"/>
      <c r="I680" s="363"/>
      <c r="J680" s="364"/>
      <c r="K680" s="363"/>
      <c r="L680" s="363"/>
      <c r="M680" s="737"/>
      <c r="N680" s="332"/>
      <c r="O680" s="332"/>
      <c r="P680" s="332"/>
      <c r="Q680" s="332"/>
      <c r="R680" s="332"/>
      <c r="S680" s="332"/>
      <c r="T680" s="332"/>
    </row>
    <row r="681" spans="1:20" x14ac:dyDescent="0.6">
      <c r="A681" s="334"/>
      <c r="B681" s="610"/>
      <c r="C681" s="365"/>
      <c r="D681" s="364"/>
      <c r="E681" s="363"/>
      <c r="F681" s="363"/>
      <c r="G681" s="364"/>
      <c r="H681" s="363"/>
      <c r="I681" s="363"/>
      <c r="J681" s="364"/>
      <c r="K681" s="363"/>
      <c r="L681" s="363"/>
      <c r="M681" s="737"/>
      <c r="N681" s="332"/>
      <c r="O681" s="332"/>
      <c r="P681" s="332"/>
      <c r="Q681" s="332"/>
      <c r="R681" s="332"/>
      <c r="S681" s="332"/>
      <c r="T681" s="332"/>
    </row>
    <row r="682" spans="1:20" x14ac:dyDescent="0.6">
      <c r="A682" s="334"/>
      <c r="B682" s="610"/>
      <c r="C682" s="365"/>
      <c r="D682" s="364"/>
      <c r="E682" s="363"/>
      <c r="F682" s="363"/>
      <c r="G682" s="364"/>
      <c r="H682" s="363"/>
      <c r="I682" s="363"/>
      <c r="J682" s="364"/>
      <c r="K682" s="363"/>
      <c r="L682" s="363"/>
      <c r="M682" s="737"/>
      <c r="N682" s="332"/>
      <c r="O682" s="332"/>
      <c r="P682" s="332"/>
      <c r="Q682" s="332"/>
      <c r="R682" s="332"/>
      <c r="S682" s="332"/>
      <c r="T682" s="332"/>
    </row>
    <row r="683" spans="1:20" x14ac:dyDescent="0.6">
      <c r="A683" s="334"/>
      <c r="B683" s="610"/>
      <c r="C683" s="365"/>
      <c r="D683" s="364"/>
      <c r="E683" s="363"/>
      <c r="F683" s="363"/>
      <c r="G683" s="364"/>
      <c r="H683" s="363"/>
      <c r="I683" s="363"/>
      <c r="J683" s="364"/>
      <c r="K683" s="363"/>
      <c r="L683" s="363"/>
      <c r="M683" s="737"/>
      <c r="N683" s="332"/>
      <c r="O683" s="332"/>
      <c r="P683" s="332"/>
      <c r="Q683" s="332"/>
      <c r="R683" s="332"/>
      <c r="S683" s="332"/>
      <c r="T683" s="332"/>
    </row>
    <row r="684" spans="1:20" x14ac:dyDescent="0.6">
      <c r="A684" s="334"/>
      <c r="B684" s="610"/>
      <c r="C684" s="365"/>
      <c r="D684" s="364"/>
      <c r="E684" s="363"/>
      <c r="F684" s="363"/>
      <c r="G684" s="364"/>
      <c r="H684" s="363"/>
      <c r="I684" s="363"/>
      <c r="J684" s="364"/>
      <c r="K684" s="363"/>
      <c r="L684" s="363"/>
      <c r="M684" s="737"/>
      <c r="N684" s="332"/>
      <c r="O684" s="332"/>
      <c r="P684" s="332"/>
      <c r="Q684" s="332"/>
      <c r="R684" s="332"/>
      <c r="S684" s="332"/>
      <c r="T684" s="332"/>
    </row>
    <row r="685" spans="1:20" x14ac:dyDescent="0.6">
      <c r="A685" s="334"/>
      <c r="B685" s="610"/>
      <c r="C685" s="365"/>
      <c r="D685" s="364"/>
      <c r="E685" s="363"/>
      <c r="F685" s="363"/>
      <c r="G685" s="364"/>
      <c r="H685" s="363"/>
      <c r="I685" s="363"/>
      <c r="J685" s="364"/>
      <c r="K685" s="363"/>
      <c r="L685" s="363"/>
      <c r="M685" s="737"/>
      <c r="N685" s="332"/>
      <c r="O685" s="332"/>
      <c r="P685" s="332"/>
      <c r="Q685" s="332"/>
      <c r="R685" s="332"/>
      <c r="S685" s="332"/>
      <c r="T685" s="332"/>
    </row>
    <row r="686" spans="1:20" x14ac:dyDescent="0.6">
      <c r="A686" s="334"/>
      <c r="B686" s="610"/>
      <c r="C686" s="365"/>
      <c r="D686" s="364"/>
      <c r="E686" s="363"/>
      <c r="F686" s="363"/>
      <c r="G686" s="364"/>
      <c r="H686" s="363"/>
      <c r="I686" s="363"/>
      <c r="J686" s="364"/>
      <c r="K686" s="363"/>
      <c r="L686" s="363"/>
      <c r="M686" s="737"/>
      <c r="N686" s="332"/>
      <c r="O686" s="332"/>
      <c r="P686" s="332"/>
      <c r="Q686" s="332"/>
      <c r="R686" s="332"/>
      <c r="S686" s="332"/>
      <c r="T686" s="332"/>
    </row>
    <row r="687" spans="1:20" x14ac:dyDescent="0.6">
      <c r="A687" s="334"/>
      <c r="B687" s="610"/>
      <c r="C687" s="365"/>
      <c r="D687" s="364"/>
      <c r="E687" s="363"/>
      <c r="F687" s="363"/>
      <c r="G687" s="364"/>
      <c r="H687" s="363"/>
      <c r="I687" s="363"/>
      <c r="J687" s="364"/>
      <c r="K687" s="363"/>
      <c r="L687" s="363"/>
      <c r="M687" s="737"/>
      <c r="N687" s="332"/>
      <c r="O687" s="332"/>
      <c r="P687" s="332"/>
      <c r="Q687" s="332"/>
      <c r="R687" s="332"/>
      <c r="S687" s="332"/>
      <c r="T687" s="332"/>
    </row>
    <row r="688" spans="1:20" x14ac:dyDescent="0.6">
      <c r="A688" s="334"/>
      <c r="B688" s="610"/>
      <c r="C688" s="365"/>
      <c r="D688" s="364"/>
      <c r="E688" s="363"/>
      <c r="F688" s="363"/>
      <c r="G688" s="364"/>
      <c r="H688" s="363"/>
      <c r="I688" s="363"/>
      <c r="J688" s="364"/>
      <c r="K688" s="363"/>
      <c r="L688" s="363"/>
      <c r="M688" s="737"/>
      <c r="N688" s="332"/>
      <c r="O688" s="332"/>
      <c r="P688" s="332"/>
      <c r="Q688" s="332"/>
      <c r="R688" s="332"/>
      <c r="S688" s="332"/>
      <c r="T688" s="332"/>
    </row>
    <row r="689" spans="1:20" x14ac:dyDescent="0.6">
      <c r="A689" s="334"/>
      <c r="B689" s="610"/>
      <c r="C689" s="365"/>
      <c r="D689" s="364"/>
      <c r="E689" s="363"/>
      <c r="F689" s="363"/>
      <c r="G689" s="364"/>
      <c r="H689" s="363"/>
      <c r="I689" s="363"/>
      <c r="J689" s="364"/>
      <c r="K689" s="363"/>
      <c r="L689" s="363"/>
      <c r="M689" s="737"/>
      <c r="N689" s="332"/>
      <c r="O689" s="332"/>
      <c r="P689" s="332"/>
      <c r="Q689" s="332"/>
      <c r="R689" s="332"/>
      <c r="S689" s="332"/>
      <c r="T689" s="332"/>
    </row>
    <row r="690" spans="1:20" x14ac:dyDescent="0.6">
      <c r="A690" s="334"/>
      <c r="B690" s="610"/>
      <c r="C690" s="365"/>
      <c r="D690" s="364"/>
      <c r="E690" s="363"/>
      <c r="F690" s="363"/>
      <c r="G690" s="364"/>
      <c r="H690" s="363"/>
      <c r="I690" s="363"/>
      <c r="J690" s="364"/>
      <c r="K690" s="363"/>
      <c r="L690" s="363"/>
      <c r="M690" s="737"/>
      <c r="N690" s="332"/>
      <c r="O690" s="332"/>
      <c r="P690" s="332"/>
      <c r="Q690" s="332"/>
      <c r="R690" s="332"/>
      <c r="S690" s="332"/>
      <c r="T690" s="332"/>
    </row>
    <row r="691" spans="1:20" x14ac:dyDescent="0.6">
      <c r="A691" s="334"/>
      <c r="B691" s="610"/>
      <c r="C691" s="365"/>
      <c r="D691" s="364"/>
      <c r="E691" s="363"/>
      <c r="F691" s="363"/>
      <c r="G691" s="364"/>
      <c r="H691" s="363"/>
      <c r="I691" s="363"/>
      <c r="J691" s="364"/>
      <c r="K691" s="363"/>
      <c r="L691" s="363"/>
      <c r="M691" s="737"/>
      <c r="N691" s="332"/>
      <c r="O691" s="332"/>
      <c r="P691" s="332"/>
      <c r="Q691" s="332"/>
      <c r="R691" s="332"/>
      <c r="S691" s="332"/>
      <c r="T691" s="332"/>
    </row>
    <row r="692" spans="1:20" x14ac:dyDescent="0.6">
      <c r="A692" s="334"/>
      <c r="B692" s="610"/>
      <c r="C692" s="365"/>
      <c r="D692" s="364"/>
      <c r="E692" s="363"/>
      <c r="F692" s="363"/>
      <c r="G692" s="364"/>
      <c r="H692" s="363"/>
      <c r="I692" s="363"/>
      <c r="J692" s="364"/>
      <c r="K692" s="363"/>
      <c r="L692" s="363"/>
      <c r="M692" s="737"/>
      <c r="N692" s="332"/>
      <c r="O692" s="332"/>
      <c r="P692" s="332"/>
      <c r="Q692" s="332"/>
      <c r="R692" s="332"/>
      <c r="S692" s="332"/>
      <c r="T692" s="332"/>
    </row>
    <row r="693" spans="1:20" x14ac:dyDescent="0.6">
      <c r="A693" s="334"/>
      <c r="B693" s="610"/>
      <c r="C693" s="365"/>
      <c r="D693" s="364"/>
      <c r="E693" s="363"/>
      <c r="F693" s="363"/>
      <c r="G693" s="364"/>
      <c r="H693" s="363"/>
      <c r="I693" s="363"/>
      <c r="J693" s="364"/>
      <c r="K693" s="363"/>
      <c r="L693" s="363"/>
      <c r="M693" s="737"/>
      <c r="N693" s="332"/>
      <c r="O693" s="332"/>
      <c r="P693" s="332"/>
      <c r="Q693" s="332"/>
      <c r="R693" s="332"/>
      <c r="S693" s="332"/>
      <c r="T693" s="332"/>
    </row>
    <row r="694" spans="1:20" x14ac:dyDescent="0.6">
      <c r="A694" s="334"/>
      <c r="B694" s="610"/>
      <c r="C694" s="365"/>
      <c r="D694" s="364"/>
      <c r="E694" s="363"/>
      <c r="F694" s="363"/>
      <c r="G694" s="364"/>
      <c r="H694" s="363"/>
      <c r="I694" s="363"/>
      <c r="J694" s="364"/>
      <c r="K694" s="363"/>
      <c r="L694" s="363"/>
      <c r="M694" s="737"/>
      <c r="N694" s="332"/>
      <c r="O694" s="332"/>
      <c r="P694" s="332"/>
      <c r="Q694" s="332"/>
      <c r="R694" s="332"/>
      <c r="S694" s="332"/>
      <c r="T694" s="332"/>
    </row>
    <row r="695" spans="1:20" x14ac:dyDescent="0.6">
      <c r="A695" s="334"/>
      <c r="B695" s="610"/>
      <c r="C695" s="365"/>
      <c r="D695" s="364"/>
      <c r="E695" s="363"/>
      <c r="F695" s="363"/>
      <c r="G695" s="364"/>
      <c r="H695" s="363"/>
      <c r="I695" s="363"/>
      <c r="J695" s="364"/>
      <c r="K695" s="363"/>
      <c r="L695" s="363"/>
      <c r="M695" s="737"/>
      <c r="N695" s="332"/>
      <c r="O695" s="332"/>
      <c r="P695" s="332"/>
      <c r="Q695" s="332"/>
      <c r="R695" s="332"/>
      <c r="S695" s="332"/>
      <c r="T695" s="332"/>
    </row>
    <row r="696" spans="1:20" x14ac:dyDescent="0.6">
      <c r="A696" s="334"/>
      <c r="B696" s="610"/>
      <c r="C696" s="365"/>
      <c r="D696" s="364"/>
      <c r="E696" s="363"/>
      <c r="F696" s="363"/>
      <c r="G696" s="364"/>
      <c r="H696" s="363"/>
      <c r="I696" s="363"/>
      <c r="J696" s="364"/>
      <c r="K696" s="363"/>
      <c r="L696" s="363"/>
      <c r="M696" s="737"/>
      <c r="N696" s="332"/>
      <c r="O696" s="332"/>
      <c r="P696" s="332"/>
      <c r="Q696" s="332"/>
      <c r="R696" s="332"/>
      <c r="S696" s="332"/>
      <c r="T696" s="332"/>
    </row>
    <row r="697" spans="1:20" x14ac:dyDescent="0.6">
      <c r="A697" s="334"/>
      <c r="B697" s="610"/>
      <c r="C697" s="365"/>
      <c r="D697" s="364"/>
      <c r="E697" s="363"/>
      <c r="F697" s="363"/>
      <c r="G697" s="364"/>
      <c r="H697" s="363"/>
      <c r="I697" s="363"/>
      <c r="J697" s="364"/>
      <c r="K697" s="363"/>
      <c r="L697" s="363"/>
      <c r="M697" s="737"/>
      <c r="N697" s="332"/>
      <c r="O697" s="332"/>
      <c r="P697" s="332"/>
      <c r="Q697" s="332"/>
      <c r="R697" s="332"/>
      <c r="S697" s="332"/>
      <c r="T697" s="332"/>
    </row>
    <row r="698" spans="1:20" x14ac:dyDescent="0.6">
      <c r="A698" s="334"/>
      <c r="B698" s="610"/>
      <c r="C698" s="365"/>
      <c r="D698" s="364"/>
      <c r="E698" s="363"/>
      <c r="F698" s="363"/>
      <c r="G698" s="364"/>
      <c r="H698" s="363"/>
      <c r="I698" s="363"/>
      <c r="J698" s="364"/>
      <c r="K698" s="363"/>
      <c r="L698" s="363"/>
      <c r="M698" s="737"/>
      <c r="N698" s="332"/>
      <c r="O698" s="332"/>
      <c r="P698" s="332"/>
      <c r="Q698" s="332"/>
      <c r="R698" s="332"/>
      <c r="S698" s="332"/>
      <c r="T698" s="332"/>
    </row>
    <row r="699" spans="1:20" x14ac:dyDescent="0.6">
      <c r="A699" s="334"/>
      <c r="B699" s="610"/>
      <c r="C699" s="365"/>
      <c r="D699" s="364"/>
      <c r="E699" s="363"/>
      <c r="F699" s="363"/>
      <c r="G699" s="364"/>
      <c r="H699" s="363"/>
      <c r="I699" s="363"/>
      <c r="J699" s="364"/>
      <c r="K699" s="363"/>
      <c r="L699" s="363"/>
      <c r="M699" s="737"/>
      <c r="N699" s="332"/>
      <c r="O699" s="332"/>
      <c r="P699" s="332"/>
      <c r="Q699" s="332"/>
      <c r="R699" s="332"/>
      <c r="S699" s="332"/>
      <c r="T699" s="332"/>
    </row>
    <row r="700" spans="1:20" x14ac:dyDescent="0.6">
      <c r="A700" s="334"/>
      <c r="B700" s="610"/>
      <c r="C700" s="365"/>
      <c r="D700" s="364"/>
      <c r="E700" s="363"/>
      <c r="F700" s="363"/>
      <c r="G700" s="364"/>
      <c r="H700" s="363"/>
      <c r="I700" s="363"/>
      <c r="J700" s="364"/>
      <c r="K700" s="363"/>
      <c r="L700" s="363"/>
      <c r="M700" s="737"/>
      <c r="N700" s="332"/>
      <c r="O700" s="332"/>
      <c r="P700" s="332"/>
      <c r="Q700" s="332"/>
      <c r="R700" s="332"/>
      <c r="S700" s="332"/>
      <c r="T700" s="332"/>
    </row>
    <row r="701" spans="1:20" x14ac:dyDescent="0.6">
      <c r="A701" s="334"/>
      <c r="B701" s="610"/>
      <c r="C701" s="365"/>
      <c r="D701" s="364"/>
      <c r="E701" s="363"/>
      <c r="F701" s="363"/>
      <c r="G701" s="364"/>
      <c r="H701" s="363"/>
      <c r="I701" s="363"/>
      <c r="J701" s="364"/>
      <c r="K701" s="363"/>
      <c r="L701" s="363"/>
      <c r="M701" s="737"/>
      <c r="N701" s="332"/>
      <c r="O701" s="332"/>
      <c r="P701" s="332"/>
      <c r="Q701" s="332"/>
      <c r="R701" s="332"/>
      <c r="S701" s="332"/>
      <c r="T701" s="332"/>
    </row>
    <row r="702" spans="1:20" x14ac:dyDescent="0.6">
      <c r="A702" s="334"/>
      <c r="B702" s="610"/>
      <c r="C702" s="365"/>
      <c r="D702" s="364"/>
      <c r="E702" s="363"/>
      <c r="F702" s="363"/>
      <c r="G702" s="364"/>
      <c r="H702" s="363"/>
      <c r="I702" s="363"/>
      <c r="J702" s="364"/>
      <c r="K702" s="363"/>
      <c r="L702" s="363"/>
      <c r="M702" s="737"/>
      <c r="N702" s="332"/>
      <c r="O702" s="332"/>
      <c r="P702" s="332"/>
      <c r="Q702" s="332"/>
      <c r="R702" s="332"/>
      <c r="S702" s="332"/>
      <c r="T702" s="332"/>
    </row>
    <row r="703" spans="1:20" x14ac:dyDescent="0.6">
      <c r="A703" s="334"/>
      <c r="B703" s="610"/>
      <c r="C703" s="365"/>
      <c r="D703" s="364"/>
      <c r="E703" s="363"/>
      <c r="F703" s="363"/>
      <c r="G703" s="364"/>
      <c r="H703" s="363"/>
      <c r="I703" s="363"/>
      <c r="J703" s="364"/>
      <c r="K703" s="363"/>
      <c r="L703" s="363"/>
      <c r="M703" s="737"/>
      <c r="N703" s="332"/>
      <c r="O703" s="332"/>
      <c r="P703" s="332"/>
      <c r="Q703" s="332"/>
      <c r="R703" s="332"/>
      <c r="S703" s="332"/>
      <c r="T703" s="332"/>
    </row>
    <row r="704" spans="1:20" x14ac:dyDescent="0.6">
      <c r="A704" s="334"/>
      <c r="B704" s="610"/>
      <c r="C704" s="365"/>
      <c r="D704" s="364"/>
      <c r="E704" s="363"/>
      <c r="F704" s="363"/>
      <c r="G704" s="364"/>
      <c r="H704" s="363"/>
      <c r="I704" s="363"/>
      <c r="J704" s="364"/>
      <c r="K704" s="363"/>
      <c r="L704" s="363"/>
      <c r="M704" s="737"/>
      <c r="N704" s="332"/>
      <c r="O704" s="332"/>
      <c r="P704" s="332"/>
      <c r="Q704" s="332"/>
      <c r="R704" s="332"/>
      <c r="S704" s="332"/>
      <c r="T704" s="332"/>
    </row>
    <row r="705" spans="1:20" x14ac:dyDescent="0.6">
      <c r="A705" s="334"/>
      <c r="B705" s="610"/>
      <c r="C705" s="365"/>
      <c r="D705" s="364"/>
      <c r="E705" s="363"/>
      <c r="F705" s="363"/>
      <c r="G705" s="364"/>
      <c r="H705" s="363"/>
      <c r="I705" s="363"/>
      <c r="J705" s="364"/>
      <c r="K705" s="363"/>
      <c r="L705" s="363"/>
      <c r="M705" s="737"/>
      <c r="N705" s="332"/>
      <c r="O705" s="332"/>
      <c r="P705" s="332"/>
      <c r="Q705" s="332"/>
      <c r="R705" s="332"/>
      <c r="S705" s="332"/>
      <c r="T705" s="332"/>
    </row>
    <row r="706" spans="1:20" x14ac:dyDescent="0.6">
      <c r="A706" s="334"/>
      <c r="B706" s="610"/>
      <c r="C706" s="365"/>
      <c r="D706" s="364"/>
      <c r="E706" s="363"/>
      <c r="F706" s="363"/>
      <c r="G706" s="364"/>
      <c r="H706" s="363"/>
      <c r="I706" s="363"/>
      <c r="J706" s="364"/>
      <c r="K706" s="363"/>
      <c r="L706" s="363"/>
      <c r="M706" s="737"/>
      <c r="N706" s="332"/>
      <c r="O706" s="332"/>
      <c r="P706" s="332"/>
      <c r="Q706" s="332"/>
      <c r="R706" s="332"/>
      <c r="S706" s="332"/>
      <c r="T706" s="332"/>
    </row>
    <row r="707" spans="1:20" x14ac:dyDescent="0.6">
      <c r="A707" s="334"/>
      <c r="B707" s="610"/>
      <c r="C707" s="365"/>
      <c r="D707" s="364"/>
      <c r="E707" s="363"/>
      <c r="F707" s="363"/>
      <c r="G707" s="364"/>
      <c r="H707" s="363"/>
      <c r="I707" s="363"/>
      <c r="J707" s="364"/>
      <c r="K707" s="363"/>
      <c r="L707" s="363"/>
      <c r="M707" s="737"/>
      <c r="N707" s="332"/>
      <c r="O707" s="332"/>
      <c r="P707" s="332"/>
      <c r="Q707" s="332"/>
      <c r="R707" s="332"/>
      <c r="S707" s="332"/>
      <c r="T707" s="332"/>
    </row>
    <row r="708" spans="1:20" x14ac:dyDescent="0.6">
      <c r="A708" s="334"/>
      <c r="B708" s="610"/>
      <c r="C708" s="365"/>
      <c r="D708" s="364"/>
      <c r="E708" s="363"/>
      <c r="F708" s="363"/>
      <c r="G708" s="364"/>
      <c r="H708" s="363"/>
      <c r="I708" s="363"/>
      <c r="J708" s="364"/>
      <c r="K708" s="363"/>
      <c r="L708" s="363"/>
      <c r="M708" s="737"/>
      <c r="N708" s="332"/>
      <c r="O708" s="332"/>
      <c r="P708" s="332"/>
      <c r="Q708" s="332"/>
      <c r="R708" s="332"/>
      <c r="S708" s="332"/>
      <c r="T708" s="332"/>
    </row>
    <row r="709" spans="1:20" x14ac:dyDescent="0.6">
      <c r="A709" s="334"/>
      <c r="B709" s="610"/>
      <c r="C709" s="365"/>
      <c r="D709" s="364"/>
      <c r="E709" s="363"/>
      <c r="F709" s="363"/>
      <c r="G709" s="364"/>
      <c r="H709" s="363"/>
      <c r="I709" s="363"/>
      <c r="J709" s="364"/>
      <c r="K709" s="363"/>
      <c r="L709" s="363"/>
      <c r="M709" s="737"/>
      <c r="N709" s="332"/>
      <c r="O709" s="332"/>
      <c r="P709" s="332"/>
      <c r="Q709" s="332"/>
      <c r="R709" s="332"/>
      <c r="S709" s="332"/>
      <c r="T709" s="332"/>
    </row>
    <row r="710" spans="1:20" x14ac:dyDescent="0.6">
      <c r="A710" s="334"/>
      <c r="B710" s="610"/>
      <c r="C710" s="365"/>
      <c r="D710" s="364"/>
      <c r="E710" s="363"/>
      <c r="F710" s="363"/>
      <c r="G710" s="364"/>
      <c r="H710" s="363"/>
      <c r="I710" s="363"/>
      <c r="J710" s="364"/>
      <c r="K710" s="363"/>
      <c r="L710" s="363"/>
      <c r="M710" s="737"/>
      <c r="N710" s="332"/>
      <c r="O710" s="332"/>
      <c r="P710" s="332"/>
      <c r="Q710" s="332"/>
      <c r="R710" s="332"/>
      <c r="S710" s="332"/>
      <c r="T710" s="332"/>
    </row>
    <row r="711" spans="1:20" x14ac:dyDescent="0.6">
      <c r="A711" s="334"/>
      <c r="B711" s="610"/>
      <c r="C711" s="365"/>
      <c r="D711" s="364"/>
      <c r="E711" s="363"/>
      <c r="F711" s="363"/>
      <c r="G711" s="364"/>
      <c r="H711" s="363"/>
      <c r="I711" s="363"/>
      <c r="J711" s="364"/>
      <c r="K711" s="363"/>
      <c r="L711" s="363"/>
      <c r="M711" s="737"/>
      <c r="N711" s="332"/>
      <c r="O711" s="332"/>
      <c r="P711" s="332"/>
      <c r="Q711" s="332"/>
      <c r="R711" s="332"/>
      <c r="S711" s="332"/>
      <c r="T711" s="332"/>
    </row>
    <row r="712" spans="1:20" x14ac:dyDescent="0.6">
      <c r="A712" s="334"/>
      <c r="B712" s="610"/>
      <c r="C712" s="365"/>
      <c r="D712" s="364"/>
      <c r="E712" s="363"/>
      <c r="F712" s="363"/>
      <c r="G712" s="364"/>
      <c r="H712" s="363"/>
      <c r="I712" s="363"/>
      <c r="J712" s="364"/>
      <c r="K712" s="363"/>
      <c r="L712" s="363"/>
      <c r="M712" s="737"/>
      <c r="N712" s="332"/>
      <c r="O712" s="332"/>
      <c r="P712" s="332"/>
      <c r="Q712" s="332"/>
      <c r="R712" s="332"/>
      <c r="S712" s="332"/>
      <c r="T712" s="332"/>
    </row>
    <row r="713" spans="1:20" x14ac:dyDescent="0.6">
      <c r="A713" s="334"/>
      <c r="B713" s="610"/>
      <c r="C713" s="365"/>
      <c r="D713" s="364"/>
      <c r="E713" s="363"/>
      <c r="F713" s="363"/>
      <c r="G713" s="364"/>
      <c r="H713" s="363"/>
      <c r="I713" s="363"/>
      <c r="J713" s="364"/>
      <c r="K713" s="363"/>
      <c r="L713" s="363"/>
      <c r="M713" s="737"/>
      <c r="N713" s="332"/>
      <c r="O713" s="332"/>
      <c r="P713" s="332"/>
      <c r="Q713" s="332"/>
      <c r="R713" s="332"/>
      <c r="S713" s="332"/>
      <c r="T713" s="332"/>
    </row>
    <row r="714" spans="1:20" x14ac:dyDescent="0.6">
      <c r="A714" s="334"/>
      <c r="B714" s="610"/>
      <c r="C714" s="365"/>
      <c r="D714" s="364"/>
      <c r="E714" s="363"/>
      <c r="F714" s="363"/>
      <c r="G714" s="364"/>
      <c r="H714" s="363"/>
      <c r="I714" s="363"/>
      <c r="J714" s="364"/>
      <c r="K714" s="363"/>
      <c r="L714" s="363"/>
      <c r="M714" s="737"/>
      <c r="N714" s="332"/>
      <c r="O714" s="332"/>
      <c r="P714" s="332"/>
      <c r="Q714" s="332"/>
      <c r="R714" s="332"/>
      <c r="S714" s="332"/>
      <c r="T714" s="332"/>
    </row>
    <row r="715" spans="1:20" x14ac:dyDescent="0.6">
      <c r="A715" s="334"/>
      <c r="B715" s="610"/>
      <c r="C715" s="365"/>
      <c r="D715" s="364"/>
      <c r="E715" s="363"/>
      <c r="F715" s="363"/>
      <c r="G715" s="364"/>
      <c r="H715" s="363"/>
      <c r="I715" s="363"/>
      <c r="J715" s="364"/>
      <c r="K715" s="363"/>
      <c r="L715" s="363"/>
      <c r="M715" s="737"/>
      <c r="N715" s="332"/>
      <c r="O715" s="332"/>
      <c r="P715" s="332"/>
      <c r="Q715" s="332"/>
      <c r="R715" s="332"/>
      <c r="S715" s="332"/>
      <c r="T715" s="332"/>
    </row>
    <row r="716" spans="1:20" x14ac:dyDescent="0.6">
      <c r="A716" s="334"/>
      <c r="B716" s="610"/>
      <c r="C716" s="365"/>
      <c r="D716" s="364"/>
      <c r="E716" s="363"/>
      <c r="F716" s="363"/>
      <c r="G716" s="364"/>
      <c r="H716" s="363"/>
      <c r="I716" s="363"/>
      <c r="J716" s="364"/>
      <c r="K716" s="363"/>
      <c r="L716" s="363"/>
      <c r="M716" s="737"/>
      <c r="N716" s="332"/>
      <c r="O716" s="332"/>
      <c r="P716" s="332"/>
      <c r="Q716" s="332"/>
      <c r="R716" s="332"/>
      <c r="S716" s="332"/>
      <c r="T716" s="332"/>
    </row>
    <row r="717" spans="1:20" x14ac:dyDescent="0.6">
      <c r="A717" s="334"/>
      <c r="B717" s="610"/>
      <c r="C717" s="365"/>
      <c r="D717" s="364"/>
      <c r="E717" s="363"/>
      <c r="F717" s="363"/>
      <c r="G717" s="364"/>
      <c r="H717" s="363"/>
      <c r="I717" s="363"/>
      <c r="J717" s="364"/>
      <c r="K717" s="363"/>
      <c r="L717" s="363"/>
      <c r="M717" s="737"/>
      <c r="N717" s="332"/>
      <c r="O717" s="332"/>
      <c r="P717" s="332"/>
      <c r="Q717" s="332"/>
      <c r="R717" s="332"/>
      <c r="S717" s="332"/>
      <c r="T717" s="332"/>
    </row>
    <row r="718" spans="1:20" x14ac:dyDescent="0.6">
      <c r="A718" s="334"/>
      <c r="B718" s="610"/>
      <c r="C718" s="365"/>
      <c r="D718" s="364"/>
      <c r="E718" s="363"/>
      <c r="F718" s="363"/>
      <c r="G718" s="364"/>
      <c r="H718" s="363"/>
      <c r="I718" s="363"/>
      <c r="J718" s="364"/>
      <c r="K718" s="363"/>
      <c r="L718" s="363"/>
      <c r="M718" s="737"/>
      <c r="N718" s="332"/>
      <c r="O718" s="332"/>
      <c r="P718" s="332"/>
      <c r="Q718" s="332"/>
      <c r="R718" s="332"/>
      <c r="S718" s="332"/>
      <c r="T718" s="332"/>
    </row>
    <row r="719" spans="1:20" x14ac:dyDescent="0.6">
      <c r="A719" s="334"/>
      <c r="B719" s="610"/>
      <c r="C719" s="365"/>
      <c r="D719" s="364"/>
      <c r="E719" s="363"/>
      <c r="F719" s="363"/>
      <c r="G719" s="364"/>
      <c r="H719" s="363"/>
      <c r="I719" s="363"/>
      <c r="J719" s="364"/>
      <c r="K719" s="363"/>
      <c r="L719" s="363"/>
      <c r="M719" s="737"/>
      <c r="N719" s="332"/>
      <c r="O719" s="332"/>
      <c r="P719" s="332"/>
      <c r="Q719" s="332"/>
      <c r="R719" s="332"/>
      <c r="S719" s="332"/>
      <c r="T719" s="332"/>
    </row>
    <row r="720" spans="1:20" x14ac:dyDescent="0.6">
      <c r="A720" s="334"/>
      <c r="B720" s="610"/>
      <c r="C720" s="365"/>
      <c r="D720" s="364"/>
      <c r="E720" s="363"/>
      <c r="F720" s="363"/>
      <c r="G720" s="364"/>
      <c r="H720" s="363"/>
      <c r="I720" s="363"/>
      <c r="J720" s="364"/>
      <c r="K720" s="363"/>
      <c r="L720" s="363"/>
      <c r="M720" s="737"/>
      <c r="N720" s="332"/>
      <c r="O720" s="332"/>
      <c r="P720" s="332"/>
      <c r="Q720" s="332"/>
      <c r="R720" s="332"/>
      <c r="S720" s="332"/>
      <c r="T720" s="332"/>
    </row>
    <row r="721" spans="1:20" x14ac:dyDescent="0.6">
      <c r="A721" s="334"/>
      <c r="B721" s="610"/>
      <c r="C721" s="365"/>
      <c r="D721" s="364"/>
      <c r="E721" s="363"/>
      <c r="F721" s="363"/>
      <c r="G721" s="364"/>
      <c r="H721" s="363"/>
      <c r="I721" s="363"/>
      <c r="J721" s="364"/>
      <c r="K721" s="363"/>
      <c r="L721" s="363"/>
      <c r="M721" s="737"/>
      <c r="N721" s="332"/>
      <c r="O721" s="332"/>
      <c r="P721" s="332"/>
      <c r="Q721" s="332"/>
      <c r="R721" s="332"/>
      <c r="S721" s="332"/>
      <c r="T721" s="332"/>
    </row>
    <row r="722" spans="1:20" x14ac:dyDescent="0.6">
      <c r="A722" s="334"/>
      <c r="B722" s="610"/>
      <c r="C722" s="365"/>
      <c r="D722" s="364"/>
      <c r="E722" s="363"/>
      <c r="F722" s="363"/>
      <c r="G722" s="364"/>
      <c r="H722" s="363"/>
      <c r="I722" s="363"/>
      <c r="J722" s="364"/>
      <c r="K722" s="363"/>
      <c r="L722" s="363"/>
      <c r="M722" s="737"/>
      <c r="N722" s="332"/>
      <c r="O722" s="332"/>
      <c r="P722" s="332"/>
      <c r="Q722" s="332"/>
      <c r="R722" s="332"/>
      <c r="S722" s="332"/>
      <c r="T722" s="332"/>
    </row>
    <row r="723" spans="1:20" x14ac:dyDescent="0.6">
      <c r="A723" s="334"/>
      <c r="B723" s="610"/>
      <c r="C723" s="365"/>
      <c r="D723" s="364"/>
      <c r="E723" s="363"/>
      <c r="F723" s="363"/>
      <c r="G723" s="364"/>
      <c r="H723" s="363"/>
      <c r="I723" s="363"/>
      <c r="J723" s="364"/>
      <c r="K723" s="363"/>
      <c r="L723" s="363"/>
      <c r="M723" s="737"/>
      <c r="N723" s="332"/>
      <c r="O723" s="332"/>
      <c r="P723" s="332"/>
      <c r="Q723" s="332"/>
      <c r="R723" s="332"/>
      <c r="S723" s="332"/>
      <c r="T723" s="332"/>
    </row>
    <row r="724" spans="1:20" x14ac:dyDescent="0.6">
      <c r="A724" s="334"/>
      <c r="B724" s="610"/>
      <c r="C724" s="365"/>
      <c r="D724" s="364"/>
      <c r="E724" s="363"/>
      <c r="F724" s="363"/>
      <c r="G724" s="364"/>
      <c r="H724" s="363"/>
      <c r="I724" s="363"/>
      <c r="J724" s="364"/>
      <c r="K724" s="363"/>
      <c r="L724" s="363"/>
      <c r="M724" s="737"/>
      <c r="N724" s="332"/>
      <c r="O724" s="332"/>
      <c r="P724" s="332"/>
      <c r="Q724" s="332"/>
      <c r="R724" s="332"/>
      <c r="S724" s="332"/>
      <c r="T724" s="332"/>
    </row>
    <row r="725" spans="1:20" x14ac:dyDescent="0.6">
      <c r="A725" s="334"/>
      <c r="B725" s="610"/>
      <c r="C725" s="365"/>
      <c r="D725" s="364"/>
      <c r="E725" s="363"/>
      <c r="F725" s="363"/>
      <c r="G725" s="364"/>
      <c r="H725" s="363"/>
      <c r="I725" s="363"/>
      <c r="J725" s="364"/>
      <c r="K725" s="363"/>
      <c r="L725" s="363"/>
      <c r="M725" s="737"/>
      <c r="N725" s="332"/>
      <c r="O725" s="332"/>
      <c r="P725" s="332"/>
      <c r="Q725" s="332"/>
      <c r="R725" s="332"/>
      <c r="S725" s="332"/>
      <c r="T725" s="332"/>
    </row>
    <row r="726" spans="1:20" x14ac:dyDescent="0.6">
      <c r="A726" s="334"/>
      <c r="B726" s="610"/>
      <c r="C726" s="365"/>
      <c r="D726" s="364"/>
      <c r="E726" s="363"/>
      <c r="F726" s="363"/>
      <c r="G726" s="364"/>
      <c r="H726" s="363"/>
      <c r="I726" s="363"/>
      <c r="J726" s="364"/>
      <c r="K726" s="363"/>
      <c r="L726" s="363"/>
      <c r="M726" s="737"/>
      <c r="N726" s="332"/>
      <c r="O726" s="332"/>
      <c r="P726" s="332"/>
      <c r="Q726" s="332"/>
      <c r="R726" s="332"/>
      <c r="S726" s="332"/>
      <c r="T726" s="332"/>
    </row>
    <row r="727" spans="1:20" x14ac:dyDescent="0.6">
      <c r="A727" s="334"/>
      <c r="B727" s="610"/>
      <c r="C727" s="365"/>
      <c r="D727" s="364"/>
      <c r="E727" s="363"/>
      <c r="F727" s="363"/>
      <c r="G727" s="364"/>
      <c r="H727" s="363"/>
      <c r="I727" s="363"/>
      <c r="J727" s="364"/>
      <c r="K727" s="363"/>
      <c r="L727" s="363"/>
      <c r="M727" s="737"/>
      <c r="N727" s="332"/>
      <c r="O727" s="332"/>
      <c r="P727" s="332"/>
      <c r="Q727" s="332"/>
      <c r="R727" s="332"/>
      <c r="S727" s="332"/>
      <c r="T727" s="332"/>
    </row>
    <row r="728" spans="1:20" x14ac:dyDescent="0.6">
      <c r="A728" s="334"/>
      <c r="B728" s="610"/>
      <c r="C728" s="365"/>
      <c r="D728" s="364"/>
      <c r="E728" s="363"/>
      <c r="F728" s="363"/>
      <c r="G728" s="364"/>
      <c r="H728" s="363"/>
      <c r="I728" s="363"/>
      <c r="J728" s="364"/>
      <c r="K728" s="363"/>
      <c r="L728" s="363"/>
      <c r="M728" s="737"/>
      <c r="N728" s="332"/>
      <c r="O728" s="332"/>
      <c r="P728" s="332"/>
      <c r="Q728" s="332"/>
      <c r="R728" s="332"/>
      <c r="S728" s="332"/>
      <c r="T728" s="332"/>
    </row>
    <row r="729" spans="1:20" x14ac:dyDescent="0.6">
      <c r="A729" s="334"/>
      <c r="B729" s="610"/>
      <c r="C729" s="365"/>
      <c r="D729" s="364"/>
      <c r="E729" s="363"/>
      <c r="F729" s="363"/>
      <c r="G729" s="364"/>
      <c r="H729" s="363"/>
      <c r="I729" s="363"/>
      <c r="J729" s="364"/>
      <c r="K729" s="363"/>
      <c r="L729" s="363"/>
      <c r="M729" s="737"/>
      <c r="N729" s="332"/>
      <c r="O729" s="332"/>
      <c r="P729" s="332"/>
      <c r="Q729" s="332"/>
      <c r="R729" s="332"/>
      <c r="S729" s="332"/>
      <c r="T729" s="332"/>
    </row>
    <row r="730" spans="1:20" x14ac:dyDescent="0.6">
      <c r="A730" s="334"/>
      <c r="B730" s="610"/>
      <c r="C730" s="365"/>
      <c r="D730" s="364"/>
      <c r="E730" s="363"/>
      <c r="F730" s="363"/>
      <c r="G730" s="364"/>
      <c r="H730" s="363"/>
      <c r="I730" s="363"/>
      <c r="J730" s="364"/>
      <c r="K730" s="363"/>
      <c r="L730" s="363"/>
      <c r="M730" s="737"/>
      <c r="N730" s="332"/>
      <c r="O730" s="332"/>
      <c r="P730" s="332"/>
      <c r="Q730" s="332"/>
      <c r="R730" s="332"/>
      <c r="S730" s="332"/>
      <c r="T730" s="332"/>
    </row>
    <row r="731" spans="1:20" x14ac:dyDescent="0.6">
      <c r="A731" s="334"/>
      <c r="B731" s="610"/>
      <c r="C731" s="365"/>
      <c r="D731" s="364"/>
      <c r="E731" s="363"/>
      <c r="F731" s="363"/>
      <c r="G731" s="364"/>
      <c r="H731" s="363"/>
      <c r="I731" s="363"/>
      <c r="J731" s="364"/>
      <c r="K731" s="363"/>
      <c r="L731" s="363"/>
      <c r="M731" s="737"/>
      <c r="N731" s="332"/>
      <c r="O731" s="332"/>
      <c r="P731" s="332"/>
      <c r="Q731" s="332"/>
      <c r="R731" s="332"/>
      <c r="S731" s="332"/>
      <c r="T731" s="332"/>
    </row>
    <row r="732" spans="1:20" x14ac:dyDescent="0.6">
      <c r="A732" s="334"/>
      <c r="B732" s="610"/>
      <c r="C732" s="365"/>
      <c r="D732" s="364"/>
      <c r="E732" s="363"/>
      <c r="F732" s="363"/>
      <c r="G732" s="364"/>
      <c r="H732" s="363"/>
      <c r="I732" s="363"/>
      <c r="J732" s="364"/>
      <c r="K732" s="363"/>
      <c r="L732" s="363"/>
      <c r="M732" s="737"/>
      <c r="N732" s="332"/>
      <c r="O732" s="332"/>
      <c r="P732" s="332"/>
      <c r="Q732" s="332"/>
      <c r="R732" s="332"/>
      <c r="S732" s="332"/>
      <c r="T732" s="332"/>
    </row>
    <row r="733" spans="1:20" x14ac:dyDescent="0.6">
      <c r="A733" s="334"/>
      <c r="B733" s="610"/>
      <c r="C733" s="365"/>
      <c r="D733" s="364"/>
      <c r="E733" s="363"/>
      <c r="F733" s="363"/>
      <c r="G733" s="364"/>
      <c r="H733" s="363"/>
      <c r="I733" s="363"/>
      <c r="J733" s="364"/>
      <c r="K733" s="363"/>
      <c r="L733" s="363"/>
      <c r="M733" s="737"/>
      <c r="N733" s="332"/>
      <c r="O733" s="332"/>
      <c r="P733" s="332"/>
      <c r="Q733" s="332"/>
      <c r="R733" s="332"/>
      <c r="S733" s="332"/>
      <c r="T733" s="332"/>
    </row>
    <row r="734" spans="1:20" x14ac:dyDescent="0.6">
      <c r="A734" s="334"/>
      <c r="B734" s="610"/>
      <c r="C734" s="365"/>
      <c r="D734" s="364"/>
      <c r="E734" s="363"/>
      <c r="F734" s="363"/>
      <c r="G734" s="364"/>
      <c r="H734" s="363"/>
      <c r="I734" s="363"/>
      <c r="J734" s="364"/>
      <c r="K734" s="363"/>
      <c r="L734" s="363"/>
      <c r="M734" s="737"/>
      <c r="N734" s="332"/>
      <c r="O734" s="332"/>
      <c r="P734" s="332"/>
      <c r="Q734" s="332"/>
      <c r="R734" s="332"/>
      <c r="S734" s="332"/>
      <c r="T734" s="332"/>
    </row>
    <row r="735" spans="1:20" x14ac:dyDescent="0.6">
      <c r="A735" s="334"/>
      <c r="B735" s="610"/>
      <c r="C735" s="365"/>
      <c r="D735" s="364"/>
      <c r="E735" s="363"/>
      <c r="F735" s="363"/>
      <c r="G735" s="364"/>
      <c r="H735" s="363"/>
      <c r="I735" s="363"/>
      <c r="J735" s="364"/>
      <c r="K735" s="363"/>
      <c r="L735" s="363"/>
      <c r="M735" s="737"/>
      <c r="N735" s="332"/>
      <c r="O735" s="332"/>
      <c r="P735" s="332"/>
      <c r="Q735" s="332"/>
      <c r="R735" s="332"/>
      <c r="S735" s="332"/>
      <c r="T735" s="332"/>
    </row>
    <row r="736" spans="1:20" x14ac:dyDescent="0.6">
      <c r="A736" s="334"/>
      <c r="B736" s="610"/>
      <c r="C736" s="365"/>
      <c r="D736" s="364"/>
      <c r="E736" s="363"/>
      <c r="F736" s="363"/>
      <c r="G736" s="364"/>
      <c r="H736" s="363"/>
      <c r="I736" s="363"/>
      <c r="J736" s="364"/>
      <c r="K736" s="363"/>
      <c r="L736" s="363"/>
      <c r="M736" s="737"/>
      <c r="N736" s="332"/>
      <c r="O736" s="332"/>
      <c r="P736" s="332"/>
      <c r="Q736" s="332"/>
      <c r="R736" s="332"/>
      <c r="S736" s="332"/>
      <c r="T736" s="332"/>
    </row>
    <row r="737" spans="1:20" x14ac:dyDescent="0.6">
      <c r="A737" s="334"/>
      <c r="B737" s="610"/>
      <c r="C737" s="365"/>
      <c r="D737" s="364"/>
      <c r="E737" s="363"/>
      <c r="F737" s="363"/>
      <c r="G737" s="364"/>
      <c r="H737" s="363"/>
      <c r="I737" s="363"/>
      <c r="J737" s="364"/>
      <c r="K737" s="363"/>
      <c r="L737" s="363"/>
      <c r="M737" s="737"/>
      <c r="N737" s="332"/>
      <c r="O737" s="332"/>
      <c r="P737" s="332"/>
      <c r="Q737" s="332"/>
      <c r="R737" s="332"/>
      <c r="S737" s="332"/>
      <c r="T737" s="332"/>
    </row>
    <row r="738" spans="1:20" x14ac:dyDescent="0.6">
      <c r="A738" s="334"/>
      <c r="B738" s="610"/>
      <c r="C738" s="365"/>
      <c r="D738" s="364"/>
      <c r="E738" s="363"/>
      <c r="F738" s="363"/>
      <c r="G738" s="364"/>
      <c r="H738" s="363"/>
      <c r="I738" s="363"/>
      <c r="J738" s="364"/>
      <c r="K738" s="363"/>
      <c r="L738" s="363"/>
      <c r="M738" s="737"/>
      <c r="N738" s="332"/>
      <c r="O738" s="332"/>
      <c r="P738" s="332"/>
      <c r="Q738" s="332"/>
      <c r="R738" s="332"/>
      <c r="S738" s="332"/>
      <c r="T738" s="332"/>
    </row>
    <row r="739" spans="1:20" x14ac:dyDescent="0.6">
      <c r="A739" s="334"/>
      <c r="B739" s="610"/>
      <c r="C739" s="365"/>
      <c r="D739" s="364"/>
      <c r="E739" s="363"/>
      <c r="F739" s="363"/>
      <c r="G739" s="364"/>
      <c r="H739" s="363"/>
      <c r="I739" s="363"/>
      <c r="J739" s="364"/>
      <c r="K739" s="363"/>
      <c r="L739" s="363"/>
      <c r="M739" s="737"/>
      <c r="N739" s="332"/>
      <c r="O739" s="332"/>
      <c r="P739" s="332"/>
      <c r="Q739" s="332"/>
      <c r="R739" s="332"/>
      <c r="S739" s="332"/>
      <c r="T739" s="332"/>
    </row>
    <row r="740" spans="1:20" x14ac:dyDescent="0.6">
      <c r="A740" s="334"/>
      <c r="B740" s="610"/>
      <c r="C740" s="365"/>
      <c r="D740" s="364"/>
      <c r="E740" s="363"/>
      <c r="F740" s="363"/>
      <c r="G740" s="364"/>
      <c r="H740" s="363"/>
      <c r="I740" s="363"/>
      <c r="J740" s="364"/>
      <c r="K740" s="363"/>
      <c r="L740" s="363"/>
      <c r="M740" s="737"/>
      <c r="N740" s="332"/>
      <c r="O740" s="332"/>
      <c r="P740" s="332"/>
      <c r="Q740" s="332"/>
      <c r="R740" s="332"/>
      <c r="S740" s="332"/>
      <c r="T740" s="332"/>
    </row>
    <row r="741" spans="1:20" x14ac:dyDescent="0.6">
      <c r="A741" s="334"/>
      <c r="B741" s="610"/>
      <c r="C741" s="365"/>
      <c r="D741" s="364"/>
      <c r="E741" s="363"/>
      <c r="F741" s="363"/>
      <c r="G741" s="364"/>
      <c r="H741" s="363"/>
      <c r="I741" s="363"/>
      <c r="J741" s="364"/>
      <c r="K741" s="363"/>
      <c r="L741" s="363"/>
      <c r="M741" s="737"/>
      <c r="N741" s="332"/>
      <c r="O741" s="332"/>
      <c r="P741" s="332"/>
      <c r="Q741" s="332"/>
      <c r="R741" s="332"/>
      <c r="S741" s="332"/>
      <c r="T741" s="332"/>
    </row>
    <row r="742" spans="1:20" x14ac:dyDescent="0.6">
      <c r="A742" s="334"/>
      <c r="B742" s="610"/>
      <c r="C742" s="365"/>
      <c r="D742" s="364"/>
      <c r="E742" s="363"/>
      <c r="F742" s="363"/>
      <c r="G742" s="364"/>
      <c r="H742" s="363"/>
      <c r="I742" s="363"/>
      <c r="J742" s="364"/>
      <c r="K742" s="363"/>
      <c r="L742" s="363"/>
      <c r="M742" s="737"/>
      <c r="N742" s="332"/>
      <c r="O742" s="332"/>
      <c r="P742" s="332"/>
      <c r="Q742" s="332"/>
      <c r="R742" s="332"/>
      <c r="S742" s="332"/>
      <c r="T742" s="332"/>
    </row>
    <row r="743" spans="1:20" x14ac:dyDescent="0.6">
      <c r="A743" s="334"/>
      <c r="B743" s="610"/>
      <c r="C743" s="365"/>
      <c r="D743" s="364"/>
      <c r="E743" s="363"/>
      <c r="F743" s="363"/>
      <c r="G743" s="364"/>
      <c r="H743" s="363"/>
      <c r="I743" s="363"/>
      <c r="J743" s="364"/>
      <c r="K743" s="363"/>
      <c r="L743" s="363"/>
      <c r="M743" s="737"/>
      <c r="N743" s="332"/>
      <c r="O743" s="332"/>
      <c r="P743" s="332"/>
      <c r="Q743" s="332"/>
      <c r="R743" s="332"/>
      <c r="S743" s="332"/>
      <c r="T743" s="332"/>
    </row>
    <row r="744" spans="1:20" x14ac:dyDescent="0.6">
      <c r="A744" s="334"/>
      <c r="B744" s="610"/>
      <c r="C744" s="365"/>
      <c r="D744" s="364"/>
      <c r="E744" s="363"/>
      <c r="F744" s="363"/>
      <c r="G744" s="364"/>
      <c r="H744" s="363"/>
      <c r="I744" s="363"/>
      <c r="J744" s="364"/>
      <c r="K744" s="363"/>
      <c r="L744" s="363"/>
      <c r="M744" s="737"/>
      <c r="N744" s="332"/>
      <c r="O744" s="332"/>
      <c r="P744" s="332"/>
      <c r="Q744" s="332"/>
      <c r="R744" s="332"/>
      <c r="S744" s="332"/>
      <c r="T744" s="332"/>
    </row>
    <row r="745" spans="1:20" x14ac:dyDescent="0.6">
      <c r="A745" s="334"/>
      <c r="B745" s="610"/>
      <c r="C745" s="365"/>
      <c r="D745" s="364"/>
      <c r="E745" s="363"/>
      <c r="F745" s="363"/>
      <c r="G745" s="364"/>
      <c r="H745" s="363"/>
      <c r="I745" s="363"/>
      <c r="J745" s="364"/>
      <c r="K745" s="363"/>
      <c r="L745" s="363"/>
      <c r="M745" s="737"/>
      <c r="N745" s="332"/>
      <c r="O745" s="332"/>
      <c r="P745" s="332"/>
      <c r="Q745" s="332"/>
      <c r="R745" s="332"/>
      <c r="S745" s="332"/>
      <c r="T745" s="332"/>
    </row>
    <row r="746" spans="1:20" x14ac:dyDescent="0.6">
      <c r="A746" s="334"/>
      <c r="B746" s="610"/>
      <c r="C746" s="365"/>
      <c r="D746" s="364"/>
      <c r="E746" s="363"/>
      <c r="F746" s="363"/>
      <c r="G746" s="364"/>
      <c r="H746" s="363"/>
      <c r="I746" s="363"/>
      <c r="J746" s="364"/>
      <c r="K746" s="363"/>
      <c r="L746" s="363"/>
      <c r="M746" s="737"/>
      <c r="N746" s="332"/>
      <c r="O746" s="332"/>
      <c r="P746" s="332"/>
      <c r="Q746" s="332"/>
      <c r="R746" s="332"/>
      <c r="S746" s="332"/>
      <c r="T746" s="332"/>
    </row>
    <row r="747" spans="1:20" x14ac:dyDescent="0.6">
      <c r="A747" s="334"/>
      <c r="B747" s="610"/>
      <c r="C747" s="365"/>
      <c r="D747" s="364"/>
      <c r="E747" s="363"/>
      <c r="F747" s="363"/>
      <c r="G747" s="364"/>
      <c r="H747" s="363"/>
      <c r="I747" s="363"/>
      <c r="J747" s="364"/>
      <c r="K747" s="363"/>
      <c r="L747" s="363"/>
      <c r="M747" s="737"/>
      <c r="N747" s="332"/>
      <c r="O747" s="332"/>
      <c r="P747" s="332"/>
      <c r="Q747" s="332"/>
      <c r="R747" s="332"/>
      <c r="S747" s="332"/>
      <c r="T747" s="332"/>
    </row>
    <row r="748" spans="1:20" x14ac:dyDescent="0.6">
      <c r="A748" s="334"/>
      <c r="B748" s="610"/>
      <c r="C748" s="365"/>
      <c r="D748" s="364"/>
      <c r="E748" s="363"/>
      <c r="F748" s="363"/>
      <c r="G748" s="364"/>
      <c r="H748" s="363"/>
      <c r="I748" s="363"/>
      <c r="J748" s="364"/>
      <c r="K748" s="363"/>
      <c r="L748" s="363"/>
      <c r="M748" s="737"/>
      <c r="N748" s="332"/>
      <c r="O748" s="332"/>
      <c r="P748" s="332"/>
      <c r="Q748" s="332"/>
      <c r="R748" s="332"/>
      <c r="S748" s="332"/>
      <c r="T748" s="332"/>
    </row>
    <row r="749" spans="1:20" x14ac:dyDescent="0.6">
      <c r="A749" s="334"/>
      <c r="B749" s="610"/>
      <c r="C749" s="365"/>
      <c r="D749" s="364"/>
      <c r="E749" s="363"/>
      <c r="F749" s="363"/>
      <c r="G749" s="364"/>
      <c r="H749" s="363"/>
      <c r="I749" s="363"/>
      <c r="J749" s="364"/>
      <c r="K749" s="363"/>
      <c r="L749" s="363"/>
      <c r="M749" s="737"/>
      <c r="N749" s="332"/>
      <c r="O749" s="332"/>
      <c r="P749" s="332"/>
      <c r="Q749" s="332"/>
      <c r="R749" s="332"/>
      <c r="S749" s="332"/>
      <c r="T749" s="332"/>
    </row>
    <row r="750" spans="1:20" x14ac:dyDescent="0.6">
      <c r="A750" s="334"/>
      <c r="B750" s="610"/>
      <c r="C750" s="365"/>
      <c r="D750" s="364"/>
      <c r="E750" s="363"/>
      <c r="F750" s="363"/>
      <c r="G750" s="364"/>
      <c r="H750" s="363"/>
      <c r="I750" s="363"/>
      <c r="J750" s="364"/>
      <c r="K750" s="363"/>
      <c r="L750" s="363"/>
      <c r="M750" s="737"/>
      <c r="N750" s="332"/>
      <c r="O750" s="332"/>
      <c r="P750" s="332"/>
      <c r="Q750" s="332"/>
      <c r="R750" s="332"/>
      <c r="S750" s="332"/>
      <c r="T750" s="332"/>
    </row>
    <row r="751" spans="1:20" x14ac:dyDescent="0.6">
      <c r="A751" s="334"/>
      <c r="B751" s="610"/>
      <c r="C751" s="365"/>
      <c r="D751" s="364"/>
      <c r="E751" s="363"/>
      <c r="F751" s="363"/>
      <c r="G751" s="364"/>
      <c r="H751" s="363"/>
      <c r="I751" s="363"/>
      <c r="J751" s="364"/>
      <c r="K751" s="363"/>
      <c r="L751" s="363"/>
      <c r="M751" s="737"/>
      <c r="N751" s="332"/>
      <c r="O751" s="332"/>
      <c r="P751" s="332"/>
      <c r="Q751" s="332"/>
      <c r="R751" s="332"/>
      <c r="S751" s="332"/>
      <c r="T751" s="332"/>
    </row>
    <row r="752" spans="1:20" x14ac:dyDescent="0.6">
      <c r="A752" s="334"/>
      <c r="B752" s="610"/>
      <c r="C752" s="365"/>
      <c r="D752" s="364"/>
      <c r="E752" s="363"/>
      <c r="F752" s="363"/>
      <c r="G752" s="364"/>
      <c r="H752" s="363"/>
      <c r="I752" s="363"/>
      <c r="J752" s="364"/>
      <c r="K752" s="363"/>
      <c r="L752" s="363"/>
      <c r="M752" s="737"/>
      <c r="N752" s="332"/>
      <c r="O752" s="332"/>
      <c r="P752" s="332"/>
      <c r="Q752" s="332"/>
      <c r="R752" s="332"/>
      <c r="S752" s="332"/>
      <c r="T752" s="332"/>
    </row>
    <row r="753" spans="1:20" x14ac:dyDescent="0.6">
      <c r="A753" s="334"/>
      <c r="B753" s="610"/>
      <c r="C753" s="365"/>
      <c r="D753" s="364"/>
      <c r="E753" s="363"/>
      <c r="F753" s="363"/>
      <c r="G753" s="364"/>
      <c r="H753" s="363"/>
      <c r="I753" s="363"/>
      <c r="J753" s="364"/>
      <c r="K753" s="363"/>
      <c r="L753" s="363"/>
      <c r="M753" s="737"/>
      <c r="N753" s="332"/>
      <c r="O753" s="332"/>
      <c r="P753" s="332"/>
      <c r="Q753" s="332"/>
      <c r="R753" s="332"/>
      <c r="S753" s="332"/>
      <c r="T753" s="332"/>
    </row>
    <row r="754" spans="1:20" x14ac:dyDescent="0.6">
      <c r="A754" s="334"/>
      <c r="B754" s="610"/>
      <c r="C754" s="365"/>
      <c r="D754" s="364"/>
      <c r="E754" s="363"/>
      <c r="F754" s="363"/>
      <c r="G754" s="364"/>
      <c r="H754" s="363"/>
      <c r="I754" s="363"/>
      <c r="J754" s="364"/>
      <c r="K754" s="363"/>
      <c r="L754" s="363"/>
      <c r="M754" s="737"/>
      <c r="N754" s="332"/>
      <c r="O754" s="332"/>
      <c r="P754" s="332"/>
      <c r="Q754" s="332"/>
      <c r="R754" s="332"/>
      <c r="S754" s="332"/>
      <c r="T754" s="332"/>
    </row>
    <row r="755" spans="1:20" x14ac:dyDescent="0.6">
      <c r="A755" s="334"/>
      <c r="B755" s="610"/>
      <c r="C755" s="365"/>
      <c r="D755" s="364"/>
      <c r="E755" s="363"/>
      <c r="F755" s="363"/>
      <c r="G755" s="364"/>
      <c r="H755" s="363"/>
      <c r="I755" s="363"/>
      <c r="J755" s="364"/>
      <c r="K755" s="363"/>
      <c r="L755" s="363"/>
      <c r="M755" s="737"/>
      <c r="N755" s="332"/>
      <c r="O755" s="332"/>
      <c r="P755" s="332"/>
      <c r="Q755" s="332"/>
      <c r="R755" s="332"/>
      <c r="S755" s="332"/>
      <c r="T755" s="332"/>
    </row>
    <row r="756" spans="1:20" x14ac:dyDescent="0.6">
      <c r="A756" s="334"/>
      <c r="B756" s="610"/>
      <c r="C756" s="365"/>
      <c r="D756" s="364"/>
      <c r="E756" s="363"/>
      <c r="F756" s="363"/>
      <c r="G756" s="364"/>
      <c r="H756" s="363"/>
      <c r="I756" s="363"/>
      <c r="J756" s="364"/>
      <c r="K756" s="363"/>
      <c r="L756" s="363"/>
      <c r="M756" s="737"/>
      <c r="N756" s="332"/>
      <c r="O756" s="332"/>
      <c r="P756" s="332"/>
      <c r="Q756" s="332"/>
      <c r="R756" s="332"/>
      <c r="S756" s="332"/>
      <c r="T756" s="332"/>
    </row>
    <row r="757" spans="1:20" x14ac:dyDescent="0.6">
      <c r="A757" s="334"/>
      <c r="B757" s="610"/>
      <c r="C757" s="365"/>
      <c r="D757" s="364"/>
      <c r="E757" s="363"/>
      <c r="F757" s="363"/>
      <c r="G757" s="364"/>
      <c r="H757" s="363"/>
      <c r="I757" s="363"/>
      <c r="J757" s="364"/>
      <c r="K757" s="363"/>
      <c r="L757" s="363"/>
      <c r="M757" s="737"/>
      <c r="N757" s="332"/>
      <c r="O757" s="332"/>
      <c r="P757" s="332"/>
      <c r="Q757" s="332"/>
      <c r="R757" s="332"/>
      <c r="S757" s="332"/>
      <c r="T757" s="332"/>
    </row>
    <row r="758" spans="1:20" x14ac:dyDescent="0.6">
      <c r="A758" s="334"/>
      <c r="B758" s="610"/>
      <c r="C758" s="365"/>
      <c r="D758" s="364"/>
      <c r="E758" s="363"/>
      <c r="F758" s="363"/>
      <c r="G758" s="364"/>
      <c r="H758" s="363"/>
      <c r="I758" s="363"/>
      <c r="J758" s="364"/>
      <c r="K758" s="363"/>
      <c r="L758" s="363"/>
      <c r="M758" s="737"/>
      <c r="N758" s="332"/>
      <c r="O758" s="332"/>
      <c r="P758" s="332"/>
      <c r="Q758" s="332"/>
      <c r="R758" s="332"/>
      <c r="S758" s="332"/>
      <c r="T758" s="332"/>
    </row>
    <row r="759" spans="1:20" x14ac:dyDescent="0.6">
      <c r="A759" s="334"/>
      <c r="B759" s="610"/>
      <c r="C759" s="365"/>
      <c r="D759" s="364"/>
      <c r="E759" s="363"/>
      <c r="F759" s="363"/>
      <c r="G759" s="364"/>
      <c r="H759" s="363"/>
      <c r="I759" s="363"/>
      <c r="J759" s="364"/>
      <c r="K759" s="363"/>
      <c r="L759" s="363"/>
      <c r="M759" s="737"/>
      <c r="N759" s="332"/>
      <c r="O759" s="332"/>
      <c r="P759" s="332"/>
      <c r="Q759" s="332"/>
      <c r="R759" s="332"/>
      <c r="S759" s="332"/>
      <c r="T759" s="332"/>
    </row>
    <row r="760" spans="1:20" x14ac:dyDescent="0.6">
      <c r="A760" s="334"/>
      <c r="B760" s="610"/>
      <c r="C760" s="365"/>
      <c r="D760" s="364"/>
      <c r="E760" s="363"/>
      <c r="F760" s="363"/>
      <c r="G760" s="364"/>
      <c r="H760" s="363"/>
      <c r="I760" s="363"/>
      <c r="J760" s="364"/>
      <c r="K760" s="363"/>
      <c r="L760" s="363"/>
      <c r="M760" s="737"/>
      <c r="N760" s="332"/>
      <c r="O760" s="332"/>
      <c r="P760" s="332"/>
      <c r="Q760" s="332"/>
      <c r="R760" s="332"/>
      <c r="S760" s="332"/>
      <c r="T760" s="332"/>
    </row>
    <row r="761" spans="1:20" x14ac:dyDescent="0.6">
      <c r="A761" s="334"/>
      <c r="B761" s="610"/>
      <c r="C761" s="365"/>
      <c r="D761" s="364"/>
      <c r="E761" s="363"/>
      <c r="F761" s="363"/>
      <c r="G761" s="364"/>
      <c r="H761" s="363"/>
      <c r="I761" s="363"/>
      <c r="J761" s="364"/>
      <c r="K761" s="363"/>
      <c r="L761" s="363"/>
      <c r="M761" s="737"/>
      <c r="N761" s="332"/>
      <c r="O761" s="332"/>
      <c r="P761" s="332"/>
      <c r="Q761" s="332"/>
      <c r="R761" s="332"/>
      <c r="S761" s="332"/>
      <c r="T761" s="332"/>
    </row>
    <row r="762" spans="1:20" x14ac:dyDescent="0.6">
      <c r="A762" s="334"/>
      <c r="B762" s="610"/>
      <c r="C762" s="365"/>
      <c r="D762" s="364"/>
      <c r="E762" s="363"/>
      <c r="F762" s="363"/>
      <c r="G762" s="364"/>
      <c r="H762" s="363"/>
      <c r="I762" s="363"/>
      <c r="J762" s="364"/>
      <c r="K762" s="363"/>
      <c r="L762" s="363"/>
      <c r="M762" s="737"/>
      <c r="N762" s="332"/>
      <c r="O762" s="332"/>
      <c r="P762" s="332"/>
      <c r="Q762" s="332"/>
      <c r="R762" s="332"/>
      <c r="S762" s="332"/>
      <c r="T762" s="332"/>
    </row>
    <row r="763" spans="1:20" x14ac:dyDescent="0.6">
      <c r="A763" s="334"/>
      <c r="B763" s="610"/>
      <c r="C763" s="365"/>
      <c r="D763" s="364"/>
      <c r="E763" s="363"/>
      <c r="F763" s="363"/>
      <c r="G763" s="364"/>
      <c r="H763" s="363"/>
      <c r="I763" s="363"/>
      <c r="J763" s="364"/>
      <c r="K763" s="363"/>
      <c r="L763" s="363"/>
      <c r="M763" s="737"/>
      <c r="N763" s="332"/>
      <c r="O763" s="332"/>
      <c r="P763" s="332"/>
      <c r="Q763" s="332"/>
      <c r="R763" s="332"/>
      <c r="S763" s="332"/>
      <c r="T763" s="332"/>
    </row>
    <row r="764" spans="1:20" x14ac:dyDescent="0.6">
      <c r="A764" s="334"/>
      <c r="B764" s="610"/>
      <c r="C764" s="365"/>
      <c r="D764" s="364"/>
      <c r="E764" s="363"/>
      <c r="F764" s="363"/>
      <c r="G764" s="364"/>
      <c r="H764" s="363"/>
      <c r="I764" s="363"/>
      <c r="J764" s="364"/>
      <c r="K764" s="363"/>
      <c r="L764" s="363"/>
      <c r="M764" s="737"/>
      <c r="N764" s="332"/>
      <c r="O764" s="332"/>
      <c r="P764" s="332"/>
      <c r="Q764" s="332"/>
      <c r="R764" s="332"/>
      <c r="S764" s="332"/>
      <c r="T764" s="332"/>
    </row>
    <row r="765" spans="1:20" x14ac:dyDescent="0.6">
      <c r="A765" s="334"/>
      <c r="B765" s="610"/>
      <c r="C765" s="365"/>
      <c r="D765" s="364"/>
      <c r="E765" s="363"/>
      <c r="F765" s="363"/>
      <c r="G765" s="364"/>
      <c r="H765" s="363"/>
      <c r="I765" s="363"/>
      <c r="J765" s="364"/>
      <c r="K765" s="363"/>
      <c r="L765" s="363"/>
      <c r="M765" s="737"/>
      <c r="N765" s="332"/>
      <c r="O765" s="332"/>
      <c r="P765" s="332"/>
      <c r="Q765" s="332"/>
      <c r="R765" s="332"/>
      <c r="S765" s="332"/>
      <c r="T765" s="332"/>
    </row>
    <row r="766" spans="1:20" x14ac:dyDescent="0.6">
      <c r="A766" s="334"/>
      <c r="B766" s="610"/>
      <c r="C766" s="365"/>
      <c r="D766" s="364"/>
      <c r="E766" s="363"/>
      <c r="F766" s="363"/>
      <c r="G766" s="364"/>
      <c r="H766" s="363"/>
      <c r="I766" s="363"/>
      <c r="J766" s="364"/>
      <c r="K766" s="363"/>
      <c r="L766" s="363"/>
      <c r="M766" s="737"/>
      <c r="N766" s="332"/>
      <c r="O766" s="332"/>
      <c r="P766" s="332"/>
      <c r="Q766" s="332"/>
      <c r="R766" s="332"/>
      <c r="S766" s="332"/>
      <c r="T766" s="332"/>
    </row>
    <row r="767" spans="1:20" x14ac:dyDescent="0.6">
      <c r="A767" s="334"/>
      <c r="B767" s="610"/>
      <c r="C767" s="365"/>
      <c r="D767" s="364"/>
      <c r="E767" s="363"/>
      <c r="F767" s="363"/>
      <c r="G767" s="364"/>
      <c r="H767" s="363"/>
      <c r="I767" s="363"/>
      <c r="J767" s="364"/>
      <c r="K767" s="363"/>
      <c r="L767" s="363"/>
      <c r="M767" s="737"/>
      <c r="N767" s="332"/>
      <c r="O767" s="332"/>
      <c r="P767" s="332"/>
      <c r="Q767" s="332"/>
      <c r="R767" s="332"/>
      <c r="S767" s="332"/>
      <c r="T767" s="332"/>
    </row>
    <row r="768" spans="1:20" x14ac:dyDescent="0.6">
      <c r="A768" s="334"/>
      <c r="B768" s="610"/>
      <c r="C768" s="365"/>
      <c r="D768" s="364"/>
      <c r="E768" s="363"/>
      <c r="F768" s="363"/>
      <c r="G768" s="364"/>
      <c r="H768" s="363"/>
      <c r="I768" s="363"/>
      <c r="J768" s="364"/>
      <c r="K768" s="363"/>
      <c r="L768" s="363"/>
      <c r="M768" s="737"/>
      <c r="N768" s="332"/>
      <c r="O768" s="332"/>
      <c r="P768" s="332"/>
      <c r="Q768" s="332"/>
      <c r="R768" s="332"/>
      <c r="S768" s="332"/>
      <c r="T768" s="332"/>
    </row>
    <row r="769" spans="1:20" x14ac:dyDescent="0.6">
      <c r="A769" s="334"/>
      <c r="B769" s="610"/>
      <c r="C769" s="365"/>
      <c r="D769" s="364"/>
      <c r="E769" s="363"/>
      <c r="F769" s="363"/>
      <c r="G769" s="364"/>
      <c r="H769" s="363"/>
      <c r="I769" s="363"/>
      <c r="J769" s="364"/>
      <c r="K769" s="363"/>
      <c r="L769" s="363"/>
      <c r="M769" s="737"/>
      <c r="N769" s="332"/>
      <c r="O769" s="332"/>
      <c r="P769" s="332"/>
      <c r="Q769" s="332"/>
      <c r="R769" s="332"/>
      <c r="S769" s="332"/>
      <c r="T769" s="332"/>
    </row>
    <row r="770" spans="1:20" x14ac:dyDescent="0.6">
      <c r="A770" s="334"/>
      <c r="B770" s="610"/>
      <c r="C770" s="365"/>
      <c r="D770" s="364"/>
      <c r="E770" s="363"/>
      <c r="F770" s="363"/>
      <c r="G770" s="364"/>
      <c r="H770" s="363"/>
      <c r="I770" s="363"/>
      <c r="J770" s="364"/>
      <c r="K770" s="363"/>
      <c r="L770" s="363"/>
      <c r="M770" s="737"/>
      <c r="N770" s="332"/>
      <c r="O770" s="332"/>
      <c r="P770" s="332"/>
      <c r="Q770" s="332"/>
      <c r="R770" s="332"/>
      <c r="S770" s="332"/>
      <c r="T770" s="332"/>
    </row>
    <row r="771" spans="1:20" x14ac:dyDescent="0.6">
      <c r="A771" s="334"/>
      <c r="B771" s="610"/>
      <c r="C771" s="365"/>
      <c r="D771" s="364"/>
      <c r="E771" s="363"/>
      <c r="F771" s="363"/>
      <c r="G771" s="364"/>
      <c r="H771" s="363"/>
      <c r="I771" s="363"/>
      <c r="J771" s="364"/>
      <c r="K771" s="363"/>
      <c r="L771" s="363"/>
      <c r="M771" s="737"/>
      <c r="N771" s="332"/>
      <c r="O771" s="332"/>
      <c r="P771" s="332"/>
      <c r="Q771" s="332"/>
      <c r="R771" s="332"/>
      <c r="S771" s="332"/>
      <c r="T771" s="332"/>
    </row>
    <row r="772" spans="1:20" x14ac:dyDescent="0.6">
      <c r="A772" s="334"/>
      <c r="B772" s="610"/>
      <c r="C772" s="365"/>
      <c r="D772" s="364"/>
      <c r="E772" s="363"/>
      <c r="F772" s="363"/>
      <c r="G772" s="364"/>
      <c r="H772" s="363"/>
      <c r="I772" s="363"/>
      <c r="J772" s="364"/>
      <c r="K772" s="363"/>
      <c r="L772" s="363"/>
      <c r="M772" s="737"/>
      <c r="N772" s="332"/>
      <c r="O772" s="332"/>
      <c r="P772" s="332"/>
      <c r="Q772" s="332"/>
      <c r="R772" s="332"/>
      <c r="S772" s="332"/>
      <c r="T772" s="332"/>
    </row>
    <row r="773" spans="1:20" x14ac:dyDescent="0.6">
      <c r="A773" s="334"/>
      <c r="B773" s="610"/>
      <c r="C773" s="365"/>
      <c r="D773" s="364"/>
      <c r="E773" s="363"/>
      <c r="F773" s="363"/>
      <c r="G773" s="364"/>
      <c r="H773" s="363"/>
      <c r="I773" s="363"/>
      <c r="J773" s="364"/>
      <c r="K773" s="363"/>
      <c r="L773" s="363"/>
      <c r="M773" s="737"/>
      <c r="N773" s="332"/>
      <c r="O773" s="332"/>
      <c r="P773" s="332"/>
      <c r="Q773" s="332"/>
      <c r="R773" s="332"/>
      <c r="S773" s="332"/>
      <c r="T773" s="332"/>
    </row>
    <row r="774" spans="1:20" x14ac:dyDescent="0.6">
      <c r="A774" s="334"/>
      <c r="B774" s="610"/>
      <c r="C774" s="365"/>
      <c r="D774" s="364"/>
      <c r="E774" s="363"/>
      <c r="F774" s="363"/>
      <c r="G774" s="364"/>
      <c r="H774" s="363"/>
      <c r="I774" s="363"/>
      <c r="J774" s="364"/>
      <c r="K774" s="363"/>
      <c r="L774" s="363"/>
      <c r="M774" s="737"/>
      <c r="N774" s="332"/>
      <c r="O774" s="332"/>
      <c r="P774" s="332"/>
      <c r="Q774" s="332"/>
      <c r="R774" s="332"/>
      <c r="S774" s="332"/>
      <c r="T774" s="332"/>
    </row>
    <row r="775" spans="1:20" x14ac:dyDescent="0.6">
      <c r="A775" s="334"/>
      <c r="B775" s="610"/>
      <c r="C775" s="365"/>
      <c r="D775" s="364"/>
      <c r="E775" s="363"/>
      <c r="F775" s="363"/>
      <c r="G775" s="364"/>
      <c r="H775" s="363"/>
      <c r="I775" s="363"/>
      <c r="J775" s="364"/>
      <c r="K775" s="363"/>
      <c r="L775" s="363"/>
      <c r="M775" s="737"/>
      <c r="N775" s="332"/>
      <c r="O775" s="332"/>
      <c r="P775" s="332"/>
      <c r="Q775" s="332"/>
      <c r="R775" s="332"/>
      <c r="S775" s="332"/>
      <c r="T775" s="332"/>
    </row>
    <row r="776" spans="1:20" x14ac:dyDescent="0.6">
      <c r="A776" s="334"/>
      <c r="B776" s="610"/>
      <c r="C776" s="365"/>
      <c r="D776" s="364"/>
      <c r="E776" s="363"/>
      <c r="F776" s="363"/>
      <c r="G776" s="364"/>
      <c r="H776" s="363"/>
      <c r="I776" s="363"/>
      <c r="J776" s="364"/>
      <c r="K776" s="363"/>
      <c r="L776" s="363"/>
      <c r="M776" s="737"/>
      <c r="N776" s="332"/>
      <c r="O776" s="332"/>
      <c r="P776" s="332"/>
      <c r="Q776" s="332"/>
      <c r="R776" s="332"/>
      <c r="S776" s="332"/>
      <c r="T776" s="332"/>
    </row>
    <row r="777" spans="1:20" x14ac:dyDescent="0.6">
      <c r="A777" s="334"/>
      <c r="B777" s="610"/>
      <c r="C777" s="365"/>
      <c r="D777" s="364"/>
      <c r="E777" s="363"/>
      <c r="F777" s="363"/>
      <c r="G777" s="364"/>
      <c r="H777" s="363"/>
      <c r="I777" s="363"/>
      <c r="J777" s="364"/>
      <c r="K777" s="363"/>
      <c r="L777" s="363"/>
      <c r="M777" s="737"/>
      <c r="N777" s="332"/>
      <c r="O777" s="332"/>
      <c r="P777" s="332"/>
      <c r="Q777" s="332"/>
      <c r="R777" s="332"/>
      <c r="S777" s="332"/>
      <c r="T777" s="332"/>
    </row>
    <row r="778" spans="1:20" x14ac:dyDescent="0.6">
      <c r="A778" s="334"/>
      <c r="B778" s="610"/>
      <c r="C778" s="365"/>
      <c r="D778" s="364"/>
      <c r="E778" s="363"/>
      <c r="F778" s="363"/>
      <c r="G778" s="364"/>
      <c r="H778" s="363"/>
      <c r="I778" s="363"/>
      <c r="J778" s="364"/>
      <c r="K778" s="363"/>
      <c r="L778" s="363"/>
      <c r="M778" s="737"/>
      <c r="N778" s="332"/>
      <c r="O778" s="332"/>
      <c r="P778" s="332"/>
      <c r="Q778" s="332"/>
      <c r="R778" s="332"/>
      <c r="S778" s="332"/>
      <c r="T778" s="332"/>
    </row>
    <row r="779" spans="1:20" x14ac:dyDescent="0.6">
      <c r="A779" s="334"/>
      <c r="B779" s="610"/>
      <c r="C779" s="365"/>
      <c r="D779" s="364"/>
      <c r="E779" s="363"/>
      <c r="F779" s="363"/>
      <c r="G779" s="364"/>
      <c r="H779" s="363"/>
      <c r="I779" s="363"/>
      <c r="J779" s="364"/>
      <c r="K779" s="363"/>
      <c r="L779" s="363"/>
      <c r="M779" s="737"/>
      <c r="N779" s="332"/>
      <c r="O779" s="332"/>
      <c r="P779" s="332"/>
      <c r="Q779" s="332"/>
      <c r="R779" s="332"/>
      <c r="S779" s="332"/>
      <c r="T779" s="332"/>
    </row>
    <row r="780" spans="1:20" x14ac:dyDescent="0.6">
      <c r="A780" s="334"/>
      <c r="B780" s="610"/>
      <c r="C780" s="365"/>
      <c r="D780" s="364"/>
      <c r="E780" s="363"/>
      <c r="F780" s="363"/>
      <c r="G780" s="364"/>
      <c r="H780" s="363"/>
      <c r="I780" s="363"/>
      <c r="J780" s="364"/>
      <c r="K780" s="363"/>
      <c r="L780" s="363"/>
      <c r="M780" s="737"/>
      <c r="N780" s="332"/>
      <c r="O780" s="332"/>
      <c r="P780" s="332"/>
      <c r="Q780" s="332"/>
      <c r="R780" s="332"/>
      <c r="S780" s="332"/>
      <c r="T780" s="332"/>
    </row>
    <row r="781" spans="1:20" x14ac:dyDescent="0.6">
      <c r="A781" s="334"/>
      <c r="B781" s="610"/>
      <c r="C781" s="365"/>
      <c r="D781" s="364"/>
      <c r="E781" s="363"/>
      <c r="F781" s="363"/>
      <c r="G781" s="364"/>
      <c r="H781" s="363"/>
      <c r="I781" s="363"/>
      <c r="J781" s="364"/>
      <c r="K781" s="363"/>
      <c r="L781" s="363"/>
      <c r="M781" s="737"/>
      <c r="N781" s="332"/>
      <c r="O781" s="332"/>
      <c r="P781" s="332"/>
      <c r="Q781" s="332"/>
      <c r="R781" s="332"/>
      <c r="S781" s="332"/>
      <c r="T781" s="332"/>
    </row>
    <row r="782" spans="1:20" x14ac:dyDescent="0.6">
      <c r="A782" s="334"/>
      <c r="B782" s="610"/>
      <c r="C782" s="365"/>
      <c r="D782" s="364"/>
      <c r="E782" s="363"/>
      <c r="F782" s="363"/>
      <c r="G782" s="364"/>
      <c r="H782" s="363"/>
      <c r="I782" s="363"/>
      <c r="J782" s="364"/>
      <c r="K782" s="363"/>
      <c r="L782" s="363"/>
      <c r="M782" s="737"/>
      <c r="N782" s="332"/>
      <c r="O782" s="332"/>
      <c r="P782" s="332"/>
      <c r="Q782" s="332"/>
      <c r="R782" s="332"/>
      <c r="S782" s="332"/>
      <c r="T782" s="332"/>
    </row>
    <row r="783" spans="1:20" x14ac:dyDescent="0.6">
      <c r="A783" s="334"/>
      <c r="B783" s="610"/>
      <c r="C783" s="365"/>
      <c r="D783" s="364"/>
      <c r="E783" s="363"/>
      <c r="F783" s="363"/>
      <c r="G783" s="364"/>
      <c r="H783" s="363"/>
      <c r="I783" s="363"/>
      <c r="J783" s="364"/>
      <c r="K783" s="363"/>
      <c r="L783" s="363"/>
      <c r="M783" s="737"/>
      <c r="N783" s="332"/>
      <c r="O783" s="332"/>
      <c r="P783" s="332"/>
      <c r="Q783" s="332"/>
      <c r="R783" s="332"/>
      <c r="S783" s="332"/>
      <c r="T783" s="332"/>
    </row>
    <row r="784" spans="1:20" x14ac:dyDescent="0.6">
      <c r="A784" s="334"/>
      <c r="B784" s="610"/>
      <c r="C784" s="365"/>
      <c r="D784" s="364"/>
      <c r="E784" s="363"/>
      <c r="F784" s="363"/>
      <c r="G784" s="364"/>
      <c r="H784" s="363"/>
      <c r="I784" s="363"/>
      <c r="J784" s="364"/>
      <c r="K784" s="363"/>
      <c r="L784" s="363"/>
      <c r="M784" s="737"/>
      <c r="N784" s="332"/>
      <c r="O784" s="332"/>
      <c r="P784" s="332"/>
      <c r="Q784" s="332"/>
      <c r="R784" s="332"/>
      <c r="S784" s="332"/>
      <c r="T784" s="332"/>
    </row>
    <row r="785" spans="1:20" x14ac:dyDescent="0.6">
      <c r="A785" s="334"/>
      <c r="B785" s="610"/>
      <c r="C785" s="365"/>
      <c r="D785" s="364"/>
      <c r="E785" s="363"/>
      <c r="F785" s="363"/>
      <c r="G785" s="364"/>
      <c r="H785" s="363"/>
      <c r="I785" s="363"/>
      <c r="J785" s="364"/>
      <c r="K785" s="363"/>
      <c r="L785" s="363"/>
      <c r="M785" s="737"/>
      <c r="N785" s="332"/>
      <c r="O785" s="332"/>
      <c r="P785" s="332"/>
      <c r="Q785" s="332"/>
      <c r="R785" s="332"/>
      <c r="S785" s="332"/>
      <c r="T785" s="332"/>
    </row>
    <row r="786" spans="1:20" x14ac:dyDescent="0.6">
      <c r="A786" s="334"/>
      <c r="B786" s="610"/>
      <c r="C786" s="365"/>
      <c r="D786" s="364"/>
      <c r="E786" s="363"/>
      <c r="F786" s="363"/>
      <c r="G786" s="364"/>
      <c r="H786" s="363"/>
      <c r="I786" s="363"/>
      <c r="J786" s="364"/>
      <c r="K786" s="363"/>
      <c r="L786" s="363"/>
      <c r="M786" s="737"/>
      <c r="N786" s="332"/>
      <c r="O786" s="332"/>
      <c r="P786" s="332"/>
      <c r="Q786" s="332"/>
      <c r="R786" s="332"/>
      <c r="S786" s="332"/>
      <c r="T786" s="332"/>
    </row>
    <row r="787" spans="1:20" x14ac:dyDescent="0.6">
      <c r="A787" s="334"/>
      <c r="B787" s="610"/>
      <c r="C787" s="365"/>
      <c r="D787" s="364"/>
      <c r="E787" s="363"/>
      <c r="F787" s="363"/>
      <c r="G787" s="364"/>
      <c r="H787" s="363"/>
      <c r="I787" s="363"/>
      <c r="J787" s="364"/>
      <c r="K787" s="363"/>
      <c r="L787" s="363"/>
      <c r="M787" s="737"/>
      <c r="N787" s="332"/>
      <c r="O787" s="332"/>
      <c r="P787" s="332"/>
      <c r="Q787" s="332"/>
      <c r="R787" s="332"/>
      <c r="S787" s="332"/>
      <c r="T787" s="332"/>
    </row>
    <row r="788" spans="1:20" x14ac:dyDescent="0.6">
      <c r="A788" s="334"/>
      <c r="B788" s="610"/>
      <c r="C788" s="365"/>
      <c r="D788" s="364"/>
      <c r="E788" s="363"/>
      <c r="F788" s="363"/>
      <c r="G788" s="364"/>
      <c r="H788" s="363"/>
      <c r="I788" s="363"/>
      <c r="J788" s="364"/>
      <c r="K788" s="363"/>
      <c r="L788" s="363"/>
      <c r="M788" s="737"/>
      <c r="N788" s="332"/>
      <c r="O788" s="332"/>
      <c r="P788" s="332"/>
      <c r="Q788" s="332"/>
      <c r="R788" s="332"/>
      <c r="S788" s="332"/>
      <c r="T788" s="332"/>
    </row>
    <row r="789" spans="1:20" x14ac:dyDescent="0.6">
      <c r="A789" s="334"/>
      <c r="B789" s="610"/>
      <c r="C789" s="365"/>
      <c r="D789" s="364"/>
      <c r="E789" s="363"/>
      <c r="F789" s="363"/>
      <c r="G789" s="364"/>
      <c r="H789" s="363"/>
      <c r="I789" s="363"/>
      <c r="J789" s="364"/>
      <c r="K789" s="363"/>
      <c r="L789" s="363"/>
      <c r="M789" s="737"/>
      <c r="N789" s="332"/>
      <c r="O789" s="332"/>
      <c r="P789" s="332"/>
      <c r="Q789" s="332"/>
      <c r="R789" s="332"/>
      <c r="S789" s="332"/>
      <c r="T789" s="332"/>
    </row>
    <row r="790" spans="1:20" x14ac:dyDescent="0.6">
      <c r="A790" s="334"/>
      <c r="B790" s="610"/>
      <c r="C790" s="365"/>
      <c r="D790" s="364"/>
      <c r="E790" s="363"/>
      <c r="F790" s="363"/>
      <c r="G790" s="364"/>
      <c r="H790" s="363"/>
      <c r="I790" s="363"/>
      <c r="J790" s="364"/>
      <c r="K790" s="363"/>
      <c r="L790" s="363"/>
      <c r="M790" s="737"/>
      <c r="N790" s="332"/>
      <c r="O790" s="332"/>
      <c r="P790" s="332"/>
      <c r="Q790" s="332"/>
      <c r="R790" s="332"/>
      <c r="S790" s="332"/>
      <c r="T790" s="332"/>
    </row>
    <row r="791" spans="1:20" x14ac:dyDescent="0.6">
      <c r="A791" s="334"/>
      <c r="B791" s="610"/>
      <c r="C791" s="365"/>
      <c r="D791" s="364"/>
      <c r="E791" s="363"/>
      <c r="F791" s="363"/>
      <c r="G791" s="364"/>
      <c r="H791" s="363"/>
      <c r="I791" s="363"/>
      <c r="J791" s="364"/>
      <c r="K791" s="363"/>
      <c r="L791" s="363"/>
      <c r="M791" s="737"/>
      <c r="N791" s="332"/>
      <c r="O791" s="332"/>
      <c r="P791" s="332"/>
      <c r="Q791" s="332"/>
      <c r="R791" s="332"/>
      <c r="S791" s="332"/>
      <c r="T791" s="332"/>
    </row>
    <row r="792" spans="1:20" x14ac:dyDescent="0.6">
      <c r="A792" s="334"/>
      <c r="B792" s="610"/>
      <c r="C792" s="365"/>
      <c r="D792" s="364"/>
      <c r="E792" s="363"/>
      <c r="F792" s="363"/>
      <c r="G792" s="364"/>
      <c r="H792" s="363"/>
      <c r="I792" s="363"/>
      <c r="J792" s="364"/>
      <c r="K792" s="363"/>
      <c r="L792" s="363"/>
      <c r="M792" s="737"/>
      <c r="N792" s="332"/>
      <c r="O792" s="332"/>
      <c r="P792" s="332"/>
      <c r="Q792" s="332"/>
      <c r="R792" s="332"/>
      <c r="S792" s="332"/>
      <c r="T792" s="332"/>
    </row>
    <row r="793" spans="1:20" x14ac:dyDescent="0.6">
      <c r="A793" s="334"/>
      <c r="B793" s="610"/>
      <c r="C793" s="365"/>
      <c r="D793" s="364"/>
      <c r="E793" s="363"/>
      <c r="F793" s="363"/>
      <c r="G793" s="364"/>
      <c r="H793" s="363"/>
      <c r="I793" s="363"/>
      <c r="J793" s="364"/>
      <c r="K793" s="363"/>
      <c r="L793" s="363"/>
      <c r="M793" s="737"/>
      <c r="N793" s="332"/>
      <c r="O793" s="332"/>
      <c r="P793" s="332"/>
      <c r="Q793" s="332"/>
      <c r="R793" s="332"/>
      <c r="S793" s="332"/>
      <c r="T793" s="332"/>
    </row>
    <row r="794" spans="1:20" x14ac:dyDescent="0.6">
      <c r="A794" s="334"/>
      <c r="B794" s="610"/>
      <c r="C794" s="365"/>
      <c r="D794" s="364"/>
      <c r="E794" s="363"/>
      <c r="F794" s="363"/>
      <c r="G794" s="364"/>
      <c r="H794" s="363"/>
      <c r="I794" s="363"/>
      <c r="J794" s="364"/>
      <c r="K794" s="363"/>
      <c r="L794" s="363"/>
      <c r="M794" s="737"/>
      <c r="N794" s="332"/>
      <c r="O794" s="332"/>
      <c r="P794" s="332"/>
      <c r="Q794" s="332"/>
      <c r="R794" s="332"/>
      <c r="S794" s="332"/>
      <c r="T794" s="332"/>
    </row>
    <row r="795" spans="1:20" x14ac:dyDescent="0.6">
      <c r="A795" s="334"/>
      <c r="B795" s="610"/>
      <c r="C795" s="365"/>
      <c r="D795" s="364"/>
      <c r="E795" s="363"/>
      <c r="F795" s="363"/>
      <c r="G795" s="364"/>
      <c r="H795" s="363"/>
      <c r="I795" s="363"/>
      <c r="J795" s="364"/>
      <c r="K795" s="363"/>
      <c r="L795" s="363"/>
      <c r="M795" s="737"/>
      <c r="N795" s="332"/>
      <c r="O795" s="332"/>
      <c r="P795" s="332"/>
      <c r="Q795" s="332"/>
      <c r="R795" s="332"/>
      <c r="S795" s="332"/>
      <c r="T795" s="332"/>
    </row>
    <row r="796" spans="1:20" x14ac:dyDescent="0.6">
      <c r="A796" s="334"/>
      <c r="B796" s="610"/>
      <c r="C796" s="365"/>
      <c r="D796" s="364"/>
      <c r="E796" s="363"/>
      <c r="F796" s="363"/>
      <c r="G796" s="364"/>
      <c r="H796" s="363"/>
      <c r="I796" s="363"/>
      <c r="J796" s="364"/>
      <c r="K796" s="363"/>
      <c r="L796" s="363"/>
      <c r="M796" s="737"/>
      <c r="N796" s="332"/>
      <c r="O796" s="332"/>
      <c r="P796" s="332"/>
      <c r="Q796" s="332"/>
      <c r="R796" s="332"/>
      <c r="S796" s="332"/>
      <c r="T796" s="332"/>
    </row>
    <row r="797" spans="1:20" x14ac:dyDescent="0.6">
      <c r="A797" s="334"/>
      <c r="B797" s="610"/>
      <c r="C797" s="365"/>
      <c r="D797" s="364"/>
      <c r="E797" s="363"/>
      <c r="F797" s="363"/>
      <c r="G797" s="364"/>
      <c r="H797" s="363"/>
      <c r="I797" s="363"/>
      <c r="J797" s="364"/>
      <c r="K797" s="363"/>
      <c r="L797" s="363"/>
      <c r="M797" s="737"/>
      <c r="N797" s="332"/>
      <c r="O797" s="332"/>
      <c r="P797" s="332"/>
      <c r="Q797" s="332"/>
      <c r="R797" s="332"/>
      <c r="S797" s="332"/>
      <c r="T797" s="332"/>
    </row>
    <row r="798" spans="1:20" x14ac:dyDescent="0.6">
      <c r="A798" s="334"/>
      <c r="B798" s="610"/>
      <c r="C798" s="365"/>
      <c r="D798" s="364"/>
      <c r="E798" s="363"/>
      <c r="F798" s="363"/>
      <c r="G798" s="364"/>
      <c r="H798" s="363"/>
      <c r="I798" s="363"/>
      <c r="J798" s="364"/>
      <c r="K798" s="363"/>
      <c r="L798" s="363"/>
      <c r="M798" s="737"/>
      <c r="N798" s="332"/>
      <c r="O798" s="332"/>
      <c r="P798" s="332"/>
      <c r="Q798" s="332"/>
      <c r="R798" s="332"/>
      <c r="S798" s="332"/>
      <c r="T798" s="332"/>
    </row>
    <row r="799" spans="1:20" x14ac:dyDescent="0.6">
      <c r="A799" s="334"/>
      <c r="B799" s="610"/>
      <c r="C799" s="365"/>
      <c r="D799" s="364"/>
      <c r="E799" s="363"/>
      <c r="F799" s="363"/>
      <c r="G799" s="364"/>
      <c r="H799" s="363"/>
      <c r="I799" s="363"/>
      <c r="J799" s="364"/>
      <c r="K799" s="363"/>
      <c r="L799" s="363"/>
      <c r="M799" s="737"/>
      <c r="N799" s="332"/>
      <c r="O799" s="332"/>
      <c r="P799" s="332"/>
      <c r="Q799" s="332"/>
      <c r="R799" s="332"/>
      <c r="S799" s="332"/>
      <c r="T799" s="332"/>
    </row>
    <row r="800" spans="1:20" x14ac:dyDescent="0.6">
      <c r="A800" s="334"/>
      <c r="B800" s="610"/>
      <c r="C800" s="365"/>
      <c r="D800" s="364"/>
      <c r="E800" s="363"/>
      <c r="F800" s="363"/>
      <c r="G800" s="364"/>
      <c r="H800" s="363"/>
      <c r="I800" s="363"/>
      <c r="J800" s="364"/>
      <c r="K800" s="363"/>
      <c r="L800" s="363"/>
      <c r="M800" s="737"/>
      <c r="N800" s="332"/>
      <c r="O800" s="332"/>
      <c r="P800" s="332"/>
      <c r="Q800" s="332"/>
      <c r="R800" s="332"/>
      <c r="S800" s="332"/>
      <c r="T800" s="332"/>
    </row>
    <row r="801" spans="1:20" x14ac:dyDescent="0.6">
      <c r="A801" s="334"/>
      <c r="B801" s="610"/>
      <c r="C801" s="365"/>
      <c r="D801" s="364"/>
      <c r="E801" s="363"/>
      <c r="F801" s="363"/>
      <c r="G801" s="364"/>
      <c r="H801" s="363"/>
      <c r="I801" s="363"/>
      <c r="J801" s="364"/>
      <c r="K801" s="363"/>
      <c r="L801" s="363"/>
      <c r="M801" s="737"/>
      <c r="N801" s="332"/>
      <c r="O801" s="332"/>
      <c r="P801" s="332"/>
      <c r="Q801" s="332"/>
      <c r="R801" s="332"/>
      <c r="S801" s="332"/>
      <c r="T801" s="332"/>
    </row>
    <row r="802" spans="1:20" x14ac:dyDescent="0.6">
      <c r="A802" s="334"/>
      <c r="B802" s="610"/>
      <c r="C802" s="365"/>
      <c r="D802" s="364"/>
      <c r="E802" s="363"/>
      <c r="F802" s="363"/>
      <c r="G802" s="364"/>
      <c r="H802" s="363"/>
      <c r="I802" s="363"/>
      <c r="J802" s="364"/>
      <c r="K802" s="363"/>
      <c r="L802" s="363"/>
      <c r="M802" s="737"/>
      <c r="N802" s="332"/>
      <c r="O802" s="332"/>
      <c r="P802" s="332"/>
      <c r="Q802" s="332"/>
      <c r="R802" s="332"/>
      <c r="S802" s="332"/>
      <c r="T802" s="332"/>
    </row>
    <row r="803" spans="1:20" x14ac:dyDescent="0.6">
      <c r="A803" s="334"/>
      <c r="B803" s="610"/>
      <c r="C803" s="365"/>
      <c r="D803" s="364"/>
      <c r="E803" s="363"/>
      <c r="F803" s="363"/>
      <c r="G803" s="364"/>
      <c r="H803" s="363"/>
      <c r="I803" s="363"/>
      <c r="J803" s="364"/>
      <c r="K803" s="363"/>
      <c r="L803" s="363"/>
      <c r="M803" s="737"/>
      <c r="N803" s="332"/>
      <c r="O803" s="332"/>
      <c r="P803" s="332"/>
      <c r="Q803" s="332"/>
      <c r="R803" s="332"/>
      <c r="S803" s="332"/>
      <c r="T803" s="332"/>
    </row>
    <row r="804" spans="1:20" x14ac:dyDescent="0.6">
      <c r="A804" s="334"/>
      <c r="B804" s="610"/>
      <c r="C804" s="365"/>
      <c r="D804" s="364"/>
      <c r="E804" s="363"/>
      <c r="F804" s="363"/>
      <c r="G804" s="364"/>
      <c r="H804" s="363"/>
      <c r="I804" s="363"/>
      <c r="J804" s="364"/>
      <c r="K804" s="363"/>
      <c r="L804" s="363"/>
      <c r="M804" s="737"/>
      <c r="N804" s="332"/>
      <c r="O804" s="332"/>
      <c r="P804" s="332"/>
      <c r="Q804" s="332"/>
      <c r="R804" s="332"/>
      <c r="S804" s="332"/>
      <c r="T804" s="332"/>
    </row>
    <row r="805" spans="1:20" x14ac:dyDescent="0.6">
      <c r="A805" s="334"/>
      <c r="B805" s="610"/>
      <c r="C805" s="365"/>
      <c r="D805" s="364"/>
      <c r="E805" s="363"/>
      <c r="F805" s="363"/>
      <c r="G805" s="364"/>
      <c r="H805" s="363"/>
      <c r="I805" s="363"/>
      <c r="J805" s="364"/>
      <c r="K805" s="363"/>
      <c r="L805" s="363"/>
      <c r="M805" s="737"/>
      <c r="N805" s="332"/>
      <c r="O805" s="332"/>
      <c r="P805" s="332"/>
      <c r="Q805" s="332"/>
      <c r="R805" s="332"/>
      <c r="S805" s="332"/>
      <c r="T805" s="332"/>
    </row>
    <row r="806" spans="1:20" x14ac:dyDescent="0.6">
      <c r="A806" s="334"/>
      <c r="B806" s="610"/>
      <c r="C806" s="365"/>
      <c r="D806" s="364"/>
      <c r="E806" s="363"/>
      <c r="F806" s="363"/>
      <c r="G806" s="364"/>
      <c r="H806" s="363"/>
      <c r="I806" s="363"/>
      <c r="J806" s="364"/>
      <c r="K806" s="363"/>
      <c r="L806" s="363"/>
      <c r="M806" s="737"/>
      <c r="N806" s="332"/>
      <c r="O806" s="332"/>
      <c r="P806" s="332"/>
      <c r="Q806" s="332"/>
      <c r="R806" s="332"/>
      <c r="S806" s="332"/>
      <c r="T806" s="332"/>
    </row>
    <row r="807" spans="1:20" x14ac:dyDescent="0.6">
      <c r="A807" s="334"/>
      <c r="B807" s="610"/>
      <c r="C807" s="365"/>
      <c r="D807" s="364"/>
      <c r="E807" s="363"/>
      <c r="F807" s="363"/>
      <c r="G807" s="364"/>
      <c r="H807" s="363"/>
      <c r="I807" s="363"/>
      <c r="J807" s="364"/>
      <c r="K807" s="363"/>
      <c r="L807" s="363"/>
      <c r="M807" s="737"/>
      <c r="N807" s="332"/>
      <c r="O807" s="332"/>
      <c r="P807" s="332"/>
      <c r="Q807" s="332"/>
      <c r="R807" s="332"/>
      <c r="S807" s="332"/>
      <c r="T807" s="332"/>
    </row>
    <row r="808" spans="1:20" x14ac:dyDescent="0.6">
      <c r="A808" s="334"/>
      <c r="B808" s="610"/>
      <c r="C808" s="365"/>
      <c r="D808" s="364"/>
      <c r="E808" s="363"/>
      <c r="F808" s="363"/>
      <c r="G808" s="364"/>
      <c r="H808" s="363"/>
      <c r="I808" s="363"/>
      <c r="J808" s="364"/>
      <c r="K808" s="363"/>
      <c r="L808" s="363"/>
      <c r="M808" s="737"/>
      <c r="N808" s="332"/>
      <c r="O808" s="332"/>
      <c r="P808" s="332"/>
      <c r="Q808" s="332"/>
      <c r="R808" s="332"/>
      <c r="S808" s="332"/>
      <c r="T808" s="332"/>
    </row>
    <row r="809" spans="1:20" x14ac:dyDescent="0.6">
      <c r="A809" s="334"/>
      <c r="B809" s="610"/>
      <c r="C809" s="365"/>
      <c r="D809" s="364"/>
      <c r="E809" s="363"/>
      <c r="F809" s="363"/>
      <c r="G809" s="364"/>
      <c r="H809" s="363"/>
      <c r="I809" s="363"/>
      <c r="J809" s="364"/>
      <c r="K809" s="363"/>
      <c r="L809" s="363"/>
      <c r="M809" s="737"/>
      <c r="N809" s="332"/>
      <c r="O809" s="332"/>
      <c r="P809" s="332"/>
      <c r="Q809" s="332"/>
      <c r="R809" s="332"/>
      <c r="S809" s="332"/>
      <c r="T809" s="332"/>
    </row>
    <row r="810" spans="1:20" x14ac:dyDescent="0.6">
      <c r="A810" s="334"/>
      <c r="B810" s="610"/>
      <c r="C810" s="365"/>
      <c r="D810" s="364"/>
      <c r="E810" s="363"/>
      <c r="F810" s="363"/>
      <c r="G810" s="364"/>
      <c r="H810" s="363"/>
      <c r="I810" s="363"/>
      <c r="J810" s="364"/>
      <c r="K810" s="363"/>
      <c r="L810" s="363"/>
      <c r="M810" s="737"/>
      <c r="N810" s="332"/>
      <c r="O810" s="332"/>
      <c r="P810" s="332"/>
      <c r="Q810" s="332"/>
      <c r="R810" s="332"/>
      <c r="S810" s="332"/>
      <c r="T810" s="332"/>
    </row>
    <row r="811" spans="1:20" x14ac:dyDescent="0.6">
      <c r="A811" s="334"/>
      <c r="B811" s="610"/>
      <c r="C811" s="365"/>
      <c r="D811" s="364"/>
      <c r="E811" s="363"/>
      <c r="F811" s="363"/>
      <c r="G811" s="364"/>
      <c r="H811" s="363"/>
      <c r="I811" s="363"/>
      <c r="J811" s="364"/>
      <c r="K811" s="363"/>
      <c r="L811" s="363"/>
      <c r="M811" s="737"/>
      <c r="N811" s="332"/>
      <c r="O811" s="332"/>
      <c r="P811" s="332"/>
      <c r="Q811" s="332"/>
      <c r="R811" s="332"/>
      <c r="S811" s="332"/>
      <c r="T811" s="332"/>
    </row>
    <row r="812" spans="1:20" x14ac:dyDescent="0.6">
      <c r="A812" s="334"/>
      <c r="B812" s="610"/>
      <c r="C812" s="365"/>
      <c r="D812" s="364"/>
      <c r="E812" s="363"/>
      <c r="F812" s="363"/>
      <c r="G812" s="364"/>
      <c r="H812" s="363"/>
      <c r="I812" s="363"/>
      <c r="J812" s="364"/>
      <c r="K812" s="363"/>
      <c r="L812" s="363"/>
      <c r="M812" s="737"/>
      <c r="N812" s="332"/>
      <c r="O812" s="332"/>
      <c r="P812" s="332"/>
      <c r="Q812" s="332"/>
      <c r="R812" s="332"/>
      <c r="S812" s="332"/>
      <c r="T812" s="332"/>
    </row>
    <row r="813" spans="1:20" x14ac:dyDescent="0.6">
      <c r="A813" s="334"/>
      <c r="B813" s="610"/>
      <c r="C813" s="365"/>
      <c r="D813" s="364"/>
      <c r="E813" s="363"/>
      <c r="F813" s="363"/>
      <c r="G813" s="364"/>
      <c r="H813" s="363"/>
      <c r="I813" s="363"/>
      <c r="J813" s="364"/>
      <c r="K813" s="363"/>
      <c r="L813" s="363"/>
      <c r="M813" s="737"/>
      <c r="N813" s="332"/>
      <c r="O813" s="332"/>
      <c r="P813" s="332"/>
      <c r="Q813" s="332"/>
      <c r="R813" s="332"/>
      <c r="S813" s="332"/>
      <c r="T813" s="332"/>
    </row>
    <row r="814" spans="1:20" x14ac:dyDescent="0.6">
      <c r="A814" s="334"/>
      <c r="B814" s="610"/>
      <c r="C814" s="365"/>
      <c r="D814" s="364"/>
      <c r="E814" s="363"/>
      <c r="F814" s="363"/>
      <c r="G814" s="364"/>
      <c r="H814" s="363"/>
      <c r="I814" s="363"/>
      <c r="J814" s="364"/>
      <c r="K814" s="363"/>
      <c r="L814" s="363"/>
      <c r="M814" s="737"/>
      <c r="N814" s="332"/>
      <c r="O814" s="332"/>
      <c r="P814" s="332"/>
      <c r="Q814" s="332"/>
      <c r="R814" s="332"/>
      <c r="S814" s="332"/>
      <c r="T814" s="332"/>
    </row>
    <row r="815" spans="1:20" x14ac:dyDescent="0.6">
      <c r="A815" s="334"/>
      <c r="B815" s="610"/>
      <c r="C815" s="365"/>
      <c r="D815" s="364"/>
      <c r="E815" s="363"/>
      <c r="F815" s="363"/>
      <c r="G815" s="364"/>
      <c r="H815" s="363"/>
      <c r="I815" s="363"/>
      <c r="J815" s="364"/>
      <c r="K815" s="363"/>
      <c r="L815" s="363"/>
      <c r="M815" s="737"/>
      <c r="N815" s="332"/>
      <c r="O815" s="332"/>
      <c r="P815" s="332"/>
      <c r="Q815" s="332"/>
      <c r="R815" s="332"/>
      <c r="S815" s="332"/>
      <c r="T815" s="332"/>
    </row>
    <row r="816" spans="1:20" x14ac:dyDescent="0.6">
      <c r="A816" s="334"/>
      <c r="B816" s="610"/>
      <c r="C816" s="365"/>
      <c r="D816" s="364"/>
      <c r="E816" s="363"/>
      <c r="F816" s="363"/>
      <c r="G816" s="364"/>
      <c r="H816" s="363"/>
      <c r="I816" s="363"/>
      <c r="J816" s="364"/>
      <c r="K816" s="363"/>
      <c r="L816" s="363"/>
      <c r="M816" s="737"/>
      <c r="N816" s="332"/>
      <c r="O816" s="332"/>
      <c r="P816" s="332"/>
      <c r="Q816" s="332"/>
      <c r="R816" s="332"/>
      <c r="S816" s="332"/>
      <c r="T816" s="332"/>
    </row>
    <row r="817" spans="1:20" x14ac:dyDescent="0.6">
      <c r="A817" s="334"/>
      <c r="B817" s="610"/>
      <c r="C817" s="365"/>
      <c r="D817" s="364"/>
      <c r="E817" s="363"/>
      <c r="F817" s="363"/>
      <c r="G817" s="364"/>
      <c r="H817" s="363"/>
      <c r="I817" s="363"/>
      <c r="J817" s="364"/>
      <c r="K817" s="363"/>
      <c r="L817" s="363"/>
      <c r="M817" s="737"/>
      <c r="N817" s="332"/>
      <c r="O817" s="332"/>
      <c r="P817" s="332"/>
      <c r="Q817" s="332"/>
      <c r="R817" s="332"/>
      <c r="S817" s="332"/>
      <c r="T817" s="332"/>
    </row>
    <row r="818" spans="1:20" x14ac:dyDescent="0.6">
      <c r="A818" s="334"/>
      <c r="B818" s="610"/>
      <c r="C818" s="365"/>
      <c r="D818" s="364"/>
      <c r="E818" s="363"/>
      <c r="F818" s="363"/>
      <c r="G818" s="364"/>
      <c r="H818" s="363"/>
      <c r="I818" s="363"/>
      <c r="J818" s="364"/>
      <c r="K818" s="363"/>
      <c r="L818" s="363"/>
      <c r="M818" s="737"/>
      <c r="N818" s="332"/>
      <c r="O818" s="332"/>
      <c r="P818" s="332"/>
      <c r="Q818" s="332"/>
      <c r="R818" s="332"/>
      <c r="S818" s="332"/>
      <c r="T818" s="332"/>
    </row>
    <row r="819" spans="1:20" x14ac:dyDescent="0.6">
      <c r="A819" s="334"/>
      <c r="B819" s="610"/>
      <c r="C819" s="365"/>
      <c r="D819" s="364"/>
      <c r="E819" s="363"/>
      <c r="F819" s="363"/>
      <c r="G819" s="364"/>
      <c r="H819" s="363"/>
      <c r="I819" s="363"/>
      <c r="J819" s="364"/>
      <c r="K819" s="363"/>
      <c r="L819" s="363"/>
      <c r="M819" s="737"/>
      <c r="N819" s="332"/>
      <c r="O819" s="332"/>
      <c r="P819" s="332"/>
      <c r="Q819" s="332"/>
      <c r="R819" s="332"/>
      <c r="S819" s="332"/>
      <c r="T819" s="332"/>
    </row>
    <row r="820" spans="1:20" x14ac:dyDescent="0.6">
      <c r="A820" s="334"/>
      <c r="B820" s="610"/>
      <c r="C820" s="365"/>
      <c r="D820" s="364"/>
      <c r="E820" s="363"/>
      <c r="F820" s="363"/>
      <c r="G820" s="364"/>
      <c r="H820" s="363"/>
      <c r="I820" s="363"/>
      <c r="J820" s="364"/>
      <c r="K820" s="363"/>
      <c r="L820" s="363"/>
      <c r="M820" s="737"/>
      <c r="N820" s="332"/>
      <c r="O820" s="332"/>
      <c r="P820" s="332"/>
      <c r="Q820" s="332"/>
      <c r="R820" s="332"/>
      <c r="S820" s="332"/>
      <c r="T820" s="332"/>
    </row>
    <row r="821" spans="1:20" x14ac:dyDescent="0.6">
      <c r="A821" s="334"/>
      <c r="B821" s="610"/>
      <c r="C821" s="365"/>
      <c r="D821" s="364"/>
      <c r="E821" s="363"/>
      <c r="F821" s="363"/>
      <c r="G821" s="364"/>
      <c r="H821" s="363"/>
      <c r="I821" s="363"/>
      <c r="J821" s="364"/>
      <c r="K821" s="363"/>
      <c r="L821" s="363"/>
      <c r="M821" s="737"/>
      <c r="N821" s="332"/>
      <c r="O821" s="332"/>
      <c r="P821" s="332"/>
      <c r="Q821" s="332"/>
      <c r="R821" s="332"/>
      <c r="S821" s="332"/>
      <c r="T821" s="332"/>
    </row>
    <row r="822" spans="1:20" x14ac:dyDescent="0.6">
      <c r="A822" s="334"/>
      <c r="B822" s="610"/>
      <c r="C822" s="365"/>
      <c r="D822" s="364"/>
      <c r="E822" s="363"/>
      <c r="F822" s="363"/>
      <c r="G822" s="364"/>
      <c r="H822" s="363"/>
      <c r="I822" s="363"/>
      <c r="J822" s="364"/>
      <c r="K822" s="363"/>
      <c r="L822" s="363"/>
      <c r="M822" s="737"/>
      <c r="N822" s="332"/>
      <c r="O822" s="332"/>
      <c r="P822" s="332"/>
      <c r="Q822" s="332"/>
      <c r="R822" s="332"/>
      <c r="S822" s="332"/>
      <c r="T822" s="332"/>
    </row>
    <row r="823" spans="1:20" x14ac:dyDescent="0.6">
      <c r="A823" s="334"/>
      <c r="B823" s="610"/>
      <c r="C823" s="365"/>
      <c r="D823" s="364"/>
      <c r="E823" s="363"/>
      <c r="F823" s="363"/>
      <c r="G823" s="364"/>
      <c r="H823" s="363"/>
      <c r="I823" s="363"/>
      <c r="J823" s="364"/>
      <c r="K823" s="363"/>
      <c r="L823" s="363"/>
      <c r="M823" s="737"/>
      <c r="N823" s="332"/>
      <c r="O823" s="332"/>
      <c r="P823" s="332"/>
      <c r="Q823" s="332"/>
      <c r="R823" s="332"/>
      <c r="S823" s="332"/>
      <c r="T823" s="332"/>
    </row>
    <row r="824" spans="1:20" x14ac:dyDescent="0.6">
      <c r="A824" s="334"/>
      <c r="B824" s="610"/>
      <c r="C824" s="365"/>
      <c r="D824" s="364"/>
      <c r="E824" s="363"/>
      <c r="F824" s="363"/>
      <c r="G824" s="364"/>
      <c r="H824" s="363"/>
      <c r="I824" s="363"/>
      <c r="J824" s="364"/>
      <c r="K824" s="363"/>
      <c r="L824" s="363"/>
      <c r="M824" s="737"/>
      <c r="N824" s="332"/>
      <c r="O824" s="332"/>
      <c r="P824" s="332"/>
      <c r="Q824" s="332"/>
      <c r="R824" s="332"/>
      <c r="S824" s="332"/>
      <c r="T824" s="332"/>
    </row>
    <row r="825" spans="1:20" x14ac:dyDescent="0.6">
      <c r="A825" s="334"/>
      <c r="B825" s="610"/>
      <c r="C825" s="365"/>
      <c r="D825" s="364"/>
      <c r="E825" s="363"/>
      <c r="F825" s="363"/>
      <c r="G825" s="364"/>
      <c r="H825" s="363"/>
      <c r="I825" s="363"/>
      <c r="J825" s="364"/>
      <c r="K825" s="363"/>
      <c r="L825" s="363"/>
      <c r="M825" s="737"/>
      <c r="N825" s="332"/>
      <c r="O825" s="332"/>
      <c r="P825" s="332"/>
      <c r="Q825" s="332"/>
      <c r="R825" s="332"/>
      <c r="S825" s="332"/>
      <c r="T825" s="332"/>
    </row>
    <row r="826" spans="1:20" x14ac:dyDescent="0.6">
      <c r="A826" s="334"/>
      <c r="B826" s="610"/>
      <c r="C826" s="365"/>
      <c r="D826" s="364"/>
      <c r="E826" s="363"/>
      <c r="F826" s="363"/>
      <c r="G826" s="364"/>
      <c r="H826" s="363"/>
      <c r="I826" s="363"/>
      <c r="J826" s="364"/>
      <c r="K826" s="363"/>
      <c r="L826" s="363"/>
      <c r="M826" s="737"/>
      <c r="N826" s="332"/>
      <c r="O826" s="332"/>
      <c r="P826" s="332"/>
      <c r="Q826" s="332"/>
      <c r="R826" s="332"/>
      <c r="S826" s="332"/>
      <c r="T826" s="332"/>
    </row>
    <row r="827" spans="1:20" x14ac:dyDescent="0.6">
      <c r="A827" s="334"/>
      <c r="B827" s="610"/>
      <c r="C827" s="365"/>
      <c r="D827" s="364"/>
      <c r="E827" s="363"/>
      <c r="F827" s="363"/>
      <c r="G827" s="364"/>
      <c r="H827" s="363"/>
      <c r="I827" s="363"/>
      <c r="J827" s="364"/>
      <c r="K827" s="363"/>
      <c r="L827" s="363"/>
      <c r="M827" s="737"/>
      <c r="N827" s="332"/>
      <c r="O827" s="332"/>
      <c r="P827" s="332"/>
      <c r="Q827" s="332"/>
      <c r="R827" s="332"/>
      <c r="S827" s="332"/>
      <c r="T827" s="332"/>
    </row>
    <row r="828" spans="1:20" x14ac:dyDescent="0.6">
      <c r="A828" s="334"/>
      <c r="B828" s="610"/>
      <c r="C828" s="365"/>
      <c r="D828" s="364"/>
      <c r="E828" s="363"/>
      <c r="F828" s="363"/>
      <c r="G828" s="364"/>
      <c r="H828" s="363"/>
      <c r="I828" s="363"/>
      <c r="J828" s="364"/>
      <c r="K828" s="363"/>
      <c r="L828" s="363"/>
      <c r="M828" s="737"/>
      <c r="N828" s="332"/>
      <c r="O828" s="332"/>
      <c r="P828" s="332"/>
      <c r="Q828" s="332"/>
      <c r="R828" s="332"/>
      <c r="S828" s="332"/>
      <c r="T828" s="332"/>
    </row>
    <row r="829" spans="1:20" x14ac:dyDescent="0.6">
      <c r="A829" s="334"/>
      <c r="B829" s="610"/>
      <c r="C829" s="365"/>
      <c r="D829" s="364"/>
      <c r="E829" s="363"/>
      <c r="F829" s="363"/>
      <c r="G829" s="364"/>
      <c r="H829" s="363"/>
      <c r="I829" s="363"/>
      <c r="J829" s="364"/>
      <c r="K829" s="363"/>
      <c r="L829" s="363"/>
      <c r="M829" s="737"/>
      <c r="N829" s="332"/>
      <c r="O829" s="332"/>
      <c r="P829" s="332"/>
      <c r="Q829" s="332"/>
      <c r="R829" s="332"/>
      <c r="S829" s="332"/>
      <c r="T829" s="332"/>
    </row>
    <row r="830" spans="1:20" x14ac:dyDescent="0.6">
      <c r="A830" s="334"/>
      <c r="B830" s="610"/>
      <c r="C830" s="365"/>
      <c r="D830" s="364"/>
      <c r="E830" s="363"/>
      <c r="F830" s="363"/>
      <c r="G830" s="364"/>
      <c r="H830" s="363"/>
      <c r="I830" s="363"/>
      <c r="J830" s="364"/>
      <c r="K830" s="363"/>
      <c r="L830" s="363"/>
      <c r="M830" s="737"/>
      <c r="N830" s="332"/>
      <c r="O830" s="332"/>
      <c r="P830" s="332"/>
      <c r="Q830" s="332"/>
      <c r="R830" s="332"/>
      <c r="S830" s="332"/>
      <c r="T830" s="332"/>
    </row>
    <row r="831" spans="1:20" x14ac:dyDescent="0.6">
      <c r="A831" s="334"/>
      <c r="B831" s="610"/>
      <c r="C831" s="365"/>
      <c r="D831" s="364"/>
      <c r="E831" s="363"/>
      <c r="F831" s="363"/>
      <c r="G831" s="364"/>
      <c r="H831" s="363"/>
      <c r="I831" s="363"/>
      <c r="J831" s="364"/>
      <c r="K831" s="363"/>
      <c r="L831" s="363"/>
      <c r="M831" s="737"/>
      <c r="N831" s="332"/>
      <c r="O831" s="332"/>
      <c r="P831" s="332"/>
      <c r="Q831" s="332"/>
      <c r="R831" s="332"/>
      <c r="S831" s="332"/>
      <c r="T831" s="332"/>
    </row>
    <row r="832" spans="1:20" x14ac:dyDescent="0.6">
      <c r="A832" s="334"/>
      <c r="B832" s="610"/>
      <c r="C832" s="365"/>
      <c r="D832" s="364"/>
      <c r="E832" s="363"/>
      <c r="F832" s="363"/>
      <c r="G832" s="364"/>
      <c r="H832" s="363"/>
      <c r="I832" s="363"/>
      <c r="J832" s="364"/>
      <c r="K832" s="363"/>
      <c r="L832" s="363"/>
      <c r="M832" s="737"/>
      <c r="N832" s="332"/>
      <c r="O832" s="332"/>
      <c r="P832" s="332"/>
      <c r="Q832" s="332"/>
      <c r="R832" s="332"/>
      <c r="S832" s="332"/>
      <c r="T832" s="332"/>
    </row>
    <row r="833" spans="1:20" x14ac:dyDescent="0.6">
      <c r="A833" s="334"/>
      <c r="B833" s="610"/>
      <c r="C833" s="365"/>
      <c r="D833" s="364"/>
      <c r="E833" s="363"/>
      <c r="F833" s="363"/>
      <c r="G833" s="364"/>
      <c r="H833" s="363"/>
      <c r="I833" s="363"/>
      <c r="J833" s="364"/>
      <c r="K833" s="363"/>
      <c r="L833" s="363"/>
      <c r="M833" s="737"/>
      <c r="N833" s="332"/>
      <c r="O833" s="332"/>
      <c r="P833" s="332"/>
      <c r="Q833" s="332"/>
      <c r="R833" s="332"/>
      <c r="S833" s="332"/>
      <c r="T833" s="332"/>
    </row>
    <row r="834" spans="1:20" x14ac:dyDescent="0.6">
      <c r="A834" s="334"/>
      <c r="B834" s="610"/>
      <c r="C834" s="365"/>
      <c r="D834" s="364"/>
      <c r="E834" s="363"/>
      <c r="F834" s="363"/>
      <c r="G834" s="364"/>
      <c r="H834" s="363"/>
      <c r="I834" s="363"/>
      <c r="J834" s="364"/>
      <c r="K834" s="363"/>
      <c r="L834" s="363"/>
      <c r="M834" s="737"/>
      <c r="N834" s="332"/>
      <c r="O834" s="332"/>
      <c r="P834" s="332"/>
      <c r="Q834" s="332"/>
      <c r="R834" s="332"/>
      <c r="S834" s="332"/>
      <c r="T834" s="332"/>
    </row>
    <row r="835" spans="1:20" x14ac:dyDescent="0.6">
      <c r="A835" s="334"/>
      <c r="B835" s="610"/>
      <c r="C835" s="365"/>
      <c r="D835" s="364"/>
      <c r="E835" s="363"/>
      <c r="F835" s="363"/>
      <c r="G835" s="364"/>
      <c r="H835" s="363"/>
      <c r="I835" s="363"/>
      <c r="J835" s="364"/>
      <c r="K835" s="363"/>
      <c r="L835" s="363"/>
      <c r="M835" s="737"/>
      <c r="N835" s="332"/>
      <c r="O835" s="332"/>
      <c r="P835" s="332"/>
      <c r="Q835" s="332"/>
      <c r="R835" s="332"/>
      <c r="S835" s="332"/>
      <c r="T835" s="332"/>
    </row>
    <row r="836" spans="1:20" x14ac:dyDescent="0.6">
      <c r="A836" s="334"/>
      <c r="B836" s="610"/>
      <c r="C836" s="365"/>
      <c r="D836" s="364"/>
      <c r="E836" s="363"/>
      <c r="F836" s="363"/>
      <c r="G836" s="364"/>
      <c r="H836" s="363"/>
      <c r="I836" s="363"/>
      <c r="J836" s="364"/>
      <c r="K836" s="363"/>
      <c r="L836" s="363"/>
      <c r="M836" s="737"/>
      <c r="N836" s="332"/>
      <c r="O836" s="332"/>
      <c r="P836" s="332"/>
      <c r="Q836" s="332"/>
      <c r="R836" s="332"/>
      <c r="S836" s="332"/>
      <c r="T836" s="332"/>
    </row>
    <row r="837" spans="1:20" x14ac:dyDescent="0.6">
      <c r="A837" s="334"/>
      <c r="B837" s="610"/>
      <c r="C837" s="365"/>
      <c r="D837" s="364"/>
      <c r="E837" s="363"/>
      <c r="F837" s="363"/>
      <c r="G837" s="364"/>
      <c r="H837" s="363"/>
      <c r="I837" s="363"/>
      <c r="J837" s="364"/>
      <c r="K837" s="363"/>
      <c r="L837" s="363"/>
      <c r="M837" s="737"/>
      <c r="N837" s="332"/>
      <c r="O837" s="332"/>
      <c r="P837" s="332"/>
      <c r="Q837" s="332"/>
      <c r="R837" s="332"/>
      <c r="S837" s="332"/>
      <c r="T837" s="332"/>
    </row>
    <row r="838" spans="1:20" x14ac:dyDescent="0.6">
      <c r="A838" s="334"/>
      <c r="B838" s="610"/>
      <c r="C838" s="365"/>
      <c r="D838" s="364"/>
      <c r="E838" s="363"/>
      <c r="F838" s="363"/>
      <c r="G838" s="364"/>
      <c r="H838" s="363"/>
      <c r="I838" s="363"/>
      <c r="J838" s="364"/>
      <c r="K838" s="363"/>
      <c r="L838" s="363"/>
      <c r="M838" s="737"/>
      <c r="N838" s="332"/>
      <c r="O838" s="332"/>
      <c r="P838" s="332"/>
      <c r="Q838" s="332"/>
      <c r="R838" s="332"/>
      <c r="S838" s="332"/>
      <c r="T838" s="332"/>
    </row>
    <row r="839" spans="1:20" x14ac:dyDescent="0.6">
      <c r="A839" s="334"/>
      <c r="B839" s="610"/>
      <c r="C839" s="365"/>
      <c r="D839" s="364"/>
      <c r="E839" s="363"/>
      <c r="F839" s="363"/>
      <c r="G839" s="364"/>
      <c r="H839" s="363"/>
      <c r="I839" s="363"/>
      <c r="J839" s="364"/>
      <c r="K839" s="363"/>
      <c r="L839" s="363"/>
      <c r="M839" s="737"/>
      <c r="N839" s="332"/>
      <c r="O839" s="332"/>
      <c r="P839" s="332"/>
      <c r="Q839" s="332"/>
      <c r="R839" s="332"/>
      <c r="S839" s="332"/>
      <c r="T839" s="332"/>
    </row>
    <row r="840" spans="1:20" x14ac:dyDescent="0.6">
      <c r="A840" s="334"/>
      <c r="B840" s="610"/>
      <c r="C840" s="365"/>
      <c r="D840" s="364"/>
      <c r="E840" s="363"/>
      <c r="F840" s="363"/>
      <c r="G840" s="364"/>
      <c r="H840" s="363"/>
      <c r="I840" s="363"/>
      <c r="J840" s="364"/>
      <c r="K840" s="363"/>
      <c r="L840" s="363"/>
      <c r="M840" s="737"/>
      <c r="N840" s="332"/>
      <c r="O840" s="332"/>
      <c r="P840" s="332"/>
      <c r="Q840" s="332"/>
      <c r="R840" s="332"/>
      <c r="S840" s="332"/>
      <c r="T840" s="332"/>
    </row>
    <row r="841" spans="1:20" x14ac:dyDescent="0.6">
      <c r="A841" s="334"/>
      <c r="B841" s="610"/>
      <c r="C841" s="365"/>
      <c r="D841" s="364"/>
      <c r="E841" s="363"/>
      <c r="F841" s="363"/>
      <c r="G841" s="364"/>
      <c r="H841" s="363"/>
      <c r="I841" s="363"/>
      <c r="J841" s="364"/>
      <c r="K841" s="363"/>
      <c r="L841" s="363"/>
      <c r="M841" s="737"/>
      <c r="N841" s="332"/>
      <c r="O841" s="332"/>
      <c r="P841" s="332"/>
      <c r="Q841" s="332"/>
      <c r="R841" s="332"/>
      <c r="S841" s="332"/>
      <c r="T841" s="332"/>
    </row>
    <row r="842" spans="1:20" x14ac:dyDescent="0.6">
      <c r="A842" s="334"/>
      <c r="B842" s="610"/>
      <c r="C842" s="365"/>
      <c r="D842" s="364"/>
      <c r="E842" s="363"/>
      <c r="F842" s="363"/>
      <c r="G842" s="364"/>
      <c r="H842" s="363"/>
      <c r="I842" s="363"/>
      <c r="J842" s="364"/>
      <c r="K842" s="363"/>
      <c r="L842" s="363"/>
      <c r="M842" s="737"/>
      <c r="N842" s="332"/>
      <c r="O842" s="332"/>
      <c r="P842" s="332"/>
      <c r="Q842" s="332"/>
      <c r="R842" s="332"/>
      <c r="S842" s="332"/>
      <c r="T842" s="332"/>
    </row>
    <row r="843" spans="1:20" x14ac:dyDescent="0.6">
      <c r="A843" s="334"/>
      <c r="B843" s="610"/>
      <c r="C843" s="365"/>
      <c r="D843" s="364"/>
      <c r="E843" s="363"/>
      <c r="F843" s="363"/>
      <c r="G843" s="364"/>
      <c r="H843" s="363"/>
      <c r="I843" s="363"/>
      <c r="J843" s="364"/>
      <c r="K843" s="363"/>
      <c r="L843" s="363"/>
      <c r="M843" s="737"/>
      <c r="N843" s="332"/>
      <c r="O843" s="332"/>
      <c r="P843" s="332"/>
      <c r="Q843" s="332"/>
      <c r="R843" s="332"/>
      <c r="S843" s="332"/>
      <c r="T843" s="332"/>
    </row>
    <row r="844" spans="1:20" x14ac:dyDescent="0.6">
      <c r="A844" s="334"/>
      <c r="B844" s="610"/>
      <c r="C844" s="365"/>
      <c r="D844" s="364"/>
      <c r="E844" s="363"/>
      <c r="F844" s="363"/>
      <c r="G844" s="364"/>
      <c r="H844" s="363"/>
      <c r="I844" s="363"/>
      <c r="J844" s="364"/>
      <c r="K844" s="363"/>
      <c r="L844" s="363"/>
      <c r="M844" s="737"/>
      <c r="N844" s="332"/>
      <c r="O844" s="332"/>
      <c r="P844" s="332"/>
      <c r="Q844" s="332"/>
      <c r="R844" s="332"/>
      <c r="S844" s="332"/>
      <c r="T844" s="332"/>
    </row>
    <row r="845" spans="1:20" x14ac:dyDescent="0.6">
      <c r="A845" s="334"/>
      <c r="B845" s="610"/>
      <c r="C845" s="365"/>
      <c r="D845" s="364"/>
      <c r="E845" s="363"/>
      <c r="F845" s="363"/>
      <c r="G845" s="364"/>
      <c r="H845" s="363"/>
      <c r="I845" s="363"/>
      <c r="J845" s="364"/>
      <c r="K845" s="363"/>
      <c r="L845" s="363"/>
      <c r="M845" s="737"/>
      <c r="N845" s="332"/>
      <c r="O845" s="332"/>
      <c r="P845" s="332"/>
      <c r="Q845" s="332"/>
      <c r="R845" s="332"/>
      <c r="S845" s="332"/>
      <c r="T845" s="332"/>
    </row>
    <row r="846" spans="1:20" x14ac:dyDescent="0.6">
      <c r="A846" s="334"/>
      <c r="B846" s="610"/>
      <c r="C846" s="365"/>
      <c r="D846" s="364"/>
      <c r="E846" s="363"/>
      <c r="F846" s="363"/>
      <c r="G846" s="364"/>
      <c r="H846" s="363"/>
      <c r="I846" s="363"/>
      <c r="J846" s="364"/>
      <c r="K846" s="363"/>
      <c r="L846" s="363"/>
      <c r="M846" s="737"/>
      <c r="N846" s="332"/>
      <c r="O846" s="332"/>
      <c r="P846" s="332"/>
      <c r="Q846" s="332"/>
      <c r="R846" s="332"/>
      <c r="S846" s="332"/>
      <c r="T846" s="332"/>
    </row>
    <row r="847" spans="1:20" x14ac:dyDescent="0.6">
      <c r="A847" s="334"/>
      <c r="B847" s="610"/>
      <c r="C847" s="365"/>
      <c r="D847" s="364"/>
      <c r="E847" s="363"/>
      <c r="F847" s="363"/>
      <c r="G847" s="364"/>
      <c r="H847" s="363"/>
      <c r="I847" s="363"/>
      <c r="J847" s="364"/>
      <c r="K847" s="363"/>
      <c r="L847" s="363"/>
      <c r="M847" s="737"/>
      <c r="N847" s="332"/>
      <c r="O847" s="332"/>
      <c r="P847" s="332"/>
      <c r="Q847" s="332"/>
      <c r="R847" s="332"/>
      <c r="S847" s="332"/>
      <c r="T847" s="332"/>
    </row>
    <row r="848" spans="1:20" x14ac:dyDescent="0.6">
      <c r="A848" s="334"/>
      <c r="B848" s="610"/>
      <c r="C848" s="365"/>
      <c r="D848" s="364"/>
      <c r="E848" s="363"/>
      <c r="F848" s="363"/>
      <c r="G848" s="364"/>
      <c r="H848" s="363"/>
      <c r="I848" s="363"/>
      <c r="J848" s="364"/>
      <c r="K848" s="363"/>
      <c r="L848" s="363"/>
      <c r="M848" s="737"/>
      <c r="N848" s="332"/>
      <c r="O848" s="332"/>
      <c r="P848" s="332"/>
      <c r="Q848" s="332"/>
      <c r="R848" s="332"/>
      <c r="S848" s="332"/>
      <c r="T848" s="332"/>
    </row>
    <row r="849" spans="1:20" x14ac:dyDescent="0.6">
      <c r="A849" s="334"/>
      <c r="B849" s="610"/>
      <c r="C849" s="365"/>
      <c r="D849" s="364"/>
      <c r="E849" s="363"/>
      <c r="F849" s="363"/>
      <c r="G849" s="364"/>
      <c r="H849" s="363"/>
      <c r="I849" s="363"/>
      <c r="J849" s="364"/>
      <c r="K849" s="363"/>
      <c r="L849" s="363"/>
      <c r="M849" s="737"/>
      <c r="N849" s="332"/>
      <c r="O849" s="332"/>
      <c r="P849" s="332"/>
      <c r="Q849" s="332"/>
      <c r="R849" s="332"/>
      <c r="S849" s="332"/>
      <c r="T849" s="332"/>
    </row>
    <row r="850" spans="1:20" x14ac:dyDescent="0.6">
      <c r="A850" s="334"/>
      <c r="B850" s="610"/>
      <c r="C850" s="365"/>
      <c r="D850" s="364"/>
      <c r="E850" s="363"/>
      <c r="F850" s="363"/>
      <c r="G850" s="364"/>
      <c r="H850" s="363"/>
      <c r="I850" s="363"/>
      <c r="J850" s="364"/>
      <c r="K850" s="363"/>
      <c r="L850" s="363"/>
      <c r="M850" s="737"/>
      <c r="N850" s="332"/>
      <c r="O850" s="332"/>
      <c r="P850" s="332"/>
      <c r="Q850" s="332"/>
      <c r="R850" s="332"/>
      <c r="S850" s="332"/>
      <c r="T850" s="332"/>
    </row>
    <row r="851" spans="1:20" x14ac:dyDescent="0.6">
      <c r="A851" s="334"/>
      <c r="B851" s="610"/>
      <c r="C851" s="365"/>
      <c r="D851" s="364"/>
      <c r="E851" s="363"/>
      <c r="F851" s="363"/>
      <c r="G851" s="364"/>
      <c r="H851" s="363"/>
      <c r="I851" s="363"/>
      <c r="J851" s="364"/>
      <c r="K851" s="363"/>
      <c r="L851" s="363"/>
      <c r="M851" s="737"/>
      <c r="N851" s="332"/>
      <c r="O851" s="332"/>
      <c r="P851" s="332"/>
      <c r="Q851" s="332"/>
      <c r="R851" s="332"/>
      <c r="S851" s="332"/>
      <c r="T851" s="332"/>
    </row>
    <row r="852" spans="1:20" x14ac:dyDescent="0.6">
      <c r="A852" s="334"/>
      <c r="B852" s="610"/>
      <c r="C852" s="365"/>
      <c r="D852" s="364"/>
      <c r="E852" s="363"/>
      <c r="F852" s="363"/>
      <c r="G852" s="364"/>
      <c r="H852" s="363"/>
      <c r="I852" s="363"/>
      <c r="J852" s="364"/>
      <c r="K852" s="363"/>
      <c r="L852" s="363"/>
      <c r="M852" s="737"/>
      <c r="N852" s="332"/>
      <c r="O852" s="332"/>
      <c r="P852" s="332"/>
      <c r="Q852" s="332"/>
      <c r="R852" s="332"/>
      <c r="S852" s="332"/>
      <c r="T852" s="332"/>
    </row>
    <row r="853" spans="1:20" x14ac:dyDescent="0.6">
      <c r="A853" s="334"/>
      <c r="B853" s="610"/>
      <c r="C853" s="365"/>
      <c r="D853" s="364"/>
      <c r="E853" s="363"/>
      <c r="F853" s="363"/>
      <c r="G853" s="364"/>
      <c r="H853" s="363"/>
      <c r="I853" s="363"/>
      <c r="J853" s="364"/>
      <c r="K853" s="363"/>
      <c r="L853" s="363"/>
      <c r="M853" s="737"/>
      <c r="N853" s="332"/>
      <c r="O853" s="332"/>
      <c r="P853" s="332"/>
      <c r="Q853" s="332"/>
      <c r="R853" s="332"/>
      <c r="S853" s="332"/>
      <c r="T853" s="332"/>
    </row>
    <row r="854" spans="1:20" x14ac:dyDescent="0.6">
      <c r="A854" s="334"/>
      <c r="B854" s="610"/>
      <c r="C854" s="365"/>
      <c r="D854" s="364"/>
      <c r="E854" s="363"/>
      <c r="F854" s="363"/>
      <c r="G854" s="364"/>
      <c r="H854" s="363"/>
      <c r="I854" s="363"/>
      <c r="J854" s="364"/>
      <c r="K854" s="363"/>
      <c r="L854" s="363"/>
      <c r="M854" s="737"/>
      <c r="N854" s="332"/>
      <c r="O854" s="332"/>
      <c r="P854" s="332"/>
      <c r="Q854" s="332"/>
      <c r="R854" s="332"/>
      <c r="S854" s="332"/>
      <c r="T854" s="332"/>
    </row>
    <row r="855" spans="1:20" x14ac:dyDescent="0.6">
      <c r="A855" s="334"/>
      <c r="B855" s="610"/>
      <c r="C855" s="365"/>
      <c r="D855" s="364"/>
      <c r="E855" s="363"/>
      <c r="F855" s="363"/>
      <c r="G855" s="364"/>
      <c r="H855" s="363"/>
      <c r="I855" s="363"/>
      <c r="J855" s="364"/>
      <c r="K855" s="363"/>
      <c r="L855" s="363"/>
      <c r="M855" s="737"/>
      <c r="N855" s="332"/>
      <c r="O855" s="332"/>
      <c r="P855" s="332"/>
      <c r="Q855" s="332"/>
      <c r="R855" s="332"/>
      <c r="S855" s="332"/>
      <c r="T855" s="332"/>
    </row>
    <row r="856" spans="1:20" x14ac:dyDescent="0.6">
      <c r="A856" s="334"/>
      <c r="B856" s="610"/>
      <c r="C856" s="365"/>
      <c r="D856" s="364"/>
      <c r="E856" s="363"/>
      <c r="F856" s="363"/>
      <c r="G856" s="364"/>
      <c r="H856" s="363"/>
      <c r="I856" s="363"/>
      <c r="J856" s="364"/>
      <c r="K856" s="363"/>
      <c r="L856" s="363"/>
      <c r="M856" s="737"/>
      <c r="N856" s="332"/>
      <c r="O856" s="332"/>
      <c r="P856" s="332"/>
      <c r="Q856" s="332"/>
      <c r="R856" s="332"/>
      <c r="S856" s="332"/>
      <c r="T856" s="332"/>
    </row>
    <row r="857" spans="1:20" x14ac:dyDescent="0.6">
      <c r="A857" s="334"/>
      <c r="B857" s="610"/>
      <c r="C857" s="365"/>
      <c r="D857" s="364"/>
      <c r="E857" s="363"/>
      <c r="F857" s="363"/>
      <c r="G857" s="364"/>
      <c r="H857" s="363"/>
      <c r="I857" s="363"/>
      <c r="J857" s="364"/>
      <c r="K857" s="363"/>
      <c r="L857" s="363"/>
      <c r="M857" s="737"/>
      <c r="N857" s="332"/>
      <c r="O857" s="332"/>
      <c r="P857" s="332"/>
      <c r="Q857" s="332"/>
      <c r="R857" s="332"/>
      <c r="S857" s="332"/>
      <c r="T857" s="332"/>
    </row>
    <row r="858" spans="1:20" x14ac:dyDescent="0.6">
      <c r="A858" s="334"/>
      <c r="B858" s="610"/>
      <c r="C858" s="365"/>
      <c r="D858" s="364"/>
      <c r="E858" s="363"/>
      <c r="F858" s="363"/>
      <c r="G858" s="364"/>
      <c r="H858" s="363"/>
      <c r="I858" s="363"/>
      <c r="J858" s="364"/>
      <c r="K858" s="363"/>
      <c r="L858" s="363"/>
      <c r="M858" s="737"/>
      <c r="N858" s="332"/>
      <c r="O858" s="332"/>
      <c r="P858" s="332"/>
      <c r="Q858" s="332"/>
      <c r="R858" s="332"/>
      <c r="S858" s="332"/>
      <c r="T858" s="332"/>
    </row>
    <row r="859" spans="1:20" x14ac:dyDescent="0.6">
      <c r="A859" s="334"/>
      <c r="B859" s="610"/>
      <c r="C859" s="365"/>
      <c r="D859" s="364"/>
      <c r="E859" s="363"/>
      <c r="F859" s="363"/>
      <c r="G859" s="364"/>
      <c r="H859" s="363"/>
      <c r="I859" s="363"/>
      <c r="J859" s="364"/>
      <c r="K859" s="363"/>
      <c r="L859" s="363"/>
      <c r="M859" s="737"/>
      <c r="N859" s="332"/>
      <c r="O859" s="332"/>
      <c r="P859" s="332"/>
      <c r="Q859" s="332"/>
      <c r="R859" s="332"/>
      <c r="S859" s="332"/>
      <c r="T859" s="332"/>
    </row>
    <row r="860" spans="1:20" x14ac:dyDescent="0.6">
      <c r="A860" s="334"/>
      <c r="B860" s="610"/>
      <c r="C860" s="365"/>
      <c r="D860" s="364"/>
      <c r="E860" s="363"/>
      <c r="F860" s="363"/>
      <c r="G860" s="364"/>
      <c r="H860" s="363"/>
      <c r="I860" s="363"/>
      <c r="J860" s="364"/>
      <c r="K860" s="363"/>
      <c r="L860" s="363"/>
      <c r="M860" s="737"/>
      <c r="N860" s="332"/>
      <c r="O860" s="332"/>
      <c r="P860" s="332"/>
      <c r="Q860" s="332"/>
      <c r="R860" s="332"/>
      <c r="S860" s="332"/>
      <c r="T860" s="332"/>
    </row>
    <row r="861" spans="1:20" x14ac:dyDescent="0.6">
      <c r="A861" s="334"/>
      <c r="B861" s="610"/>
      <c r="C861" s="365"/>
      <c r="D861" s="364"/>
      <c r="E861" s="363"/>
      <c r="F861" s="363"/>
      <c r="G861" s="364"/>
      <c r="H861" s="363"/>
      <c r="I861" s="363"/>
      <c r="J861" s="364"/>
      <c r="K861" s="363"/>
      <c r="L861" s="363"/>
      <c r="M861" s="737"/>
      <c r="N861" s="332"/>
      <c r="O861" s="332"/>
      <c r="P861" s="332"/>
      <c r="Q861" s="332"/>
      <c r="R861" s="332"/>
      <c r="S861" s="332"/>
      <c r="T861" s="332"/>
    </row>
    <row r="862" spans="1:20" x14ac:dyDescent="0.6">
      <c r="A862" s="334"/>
      <c r="B862" s="610"/>
      <c r="C862" s="365"/>
      <c r="D862" s="364"/>
      <c r="E862" s="363"/>
      <c r="F862" s="363"/>
      <c r="G862" s="364"/>
      <c r="H862" s="363"/>
      <c r="I862" s="363"/>
      <c r="J862" s="364"/>
      <c r="K862" s="363"/>
      <c r="L862" s="363"/>
      <c r="M862" s="737"/>
      <c r="N862" s="332"/>
      <c r="O862" s="332"/>
      <c r="P862" s="332"/>
      <c r="Q862" s="332"/>
      <c r="R862" s="332"/>
      <c r="S862" s="332"/>
      <c r="T862" s="332"/>
    </row>
    <row r="863" spans="1:20" x14ac:dyDescent="0.6">
      <c r="A863" s="334"/>
      <c r="B863" s="610"/>
      <c r="C863" s="365"/>
      <c r="D863" s="364"/>
      <c r="E863" s="363"/>
      <c r="F863" s="363"/>
      <c r="G863" s="364"/>
      <c r="H863" s="363"/>
      <c r="I863" s="363"/>
      <c r="J863" s="364"/>
      <c r="K863" s="363"/>
      <c r="L863" s="363"/>
      <c r="M863" s="737"/>
      <c r="N863" s="332"/>
      <c r="O863" s="332"/>
      <c r="P863" s="332"/>
      <c r="Q863" s="332"/>
      <c r="R863" s="332"/>
      <c r="S863" s="332"/>
      <c r="T863" s="332"/>
    </row>
    <row r="864" spans="1:20" x14ac:dyDescent="0.6">
      <c r="A864" s="334"/>
      <c r="B864" s="610"/>
      <c r="C864" s="365"/>
      <c r="D864" s="364"/>
      <c r="E864" s="363"/>
      <c r="F864" s="363"/>
      <c r="G864" s="364"/>
      <c r="H864" s="363"/>
      <c r="I864" s="363"/>
      <c r="J864" s="364"/>
      <c r="K864" s="363"/>
      <c r="L864" s="363"/>
      <c r="M864" s="737"/>
      <c r="N864" s="332"/>
      <c r="O864" s="332"/>
      <c r="P864" s="332"/>
      <c r="Q864" s="332"/>
      <c r="R864" s="332"/>
      <c r="S864" s="332"/>
      <c r="T864" s="332"/>
    </row>
    <row r="865" spans="1:20" x14ac:dyDescent="0.6">
      <c r="A865" s="334"/>
      <c r="B865" s="610"/>
      <c r="C865" s="365"/>
      <c r="D865" s="364"/>
      <c r="E865" s="363"/>
      <c r="F865" s="363"/>
      <c r="G865" s="364"/>
      <c r="H865" s="363"/>
      <c r="I865" s="363"/>
      <c r="J865" s="364"/>
      <c r="K865" s="363"/>
      <c r="L865" s="363"/>
      <c r="M865" s="737"/>
      <c r="N865" s="332"/>
      <c r="O865" s="332"/>
      <c r="P865" s="332"/>
      <c r="Q865" s="332"/>
      <c r="R865" s="332"/>
      <c r="S865" s="332"/>
      <c r="T865" s="332"/>
    </row>
    <row r="866" spans="1:20" x14ac:dyDescent="0.6">
      <c r="A866" s="334"/>
      <c r="B866" s="610"/>
      <c r="C866" s="365"/>
      <c r="D866" s="364"/>
      <c r="E866" s="363"/>
      <c r="F866" s="363"/>
      <c r="G866" s="364"/>
      <c r="H866" s="363"/>
      <c r="I866" s="363"/>
      <c r="J866" s="364"/>
      <c r="K866" s="363"/>
      <c r="L866" s="363"/>
      <c r="M866" s="737"/>
      <c r="N866" s="332"/>
      <c r="O866" s="332"/>
      <c r="P866" s="332"/>
      <c r="Q866" s="332"/>
      <c r="R866" s="332"/>
      <c r="S866" s="332"/>
      <c r="T866" s="332"/>
    </row>
    <row r="867" spans="1:20" x14ac:dyDescent="0.6">
      <c r="A867" s="334"/>
      <c r="B867" s="610"/>
      <c r="C867" s="365"/>
      <c r="D867" s="364"/>
      <c r="E867" s="363"/>
      <c r="F867" s="363"/>
      <c r="G867" s="364"/>
      <c r="H867" s="363"/>
      <c r="I867" s="363"/>
      <c r="J867" s="364"/>
      <c r="K867" s="363"/>
      <c r="L867" s="363"/>
      <c r="M867" s="737"/>
      <c r="N867" s="332"/>
      <c r="O867" s="332"/>
      <c r="P867" s="332"/>
      <c r="Q867" s="332"/>
      <c r="R867" s="332"/>
      <c r="S867" s="332"/>
      <c r="T867" s="332"/>
    </row>
    <row r="868" spans="1:20" x14ac:dyDescent="0.6">
      <c r="A868" s="334"/>
      <c r="B868" s="610"/>
      <c r="C868" s="365"/>
      <c r="D868" s="364"/>
      <c r="E868" s="363"/>
      <c r="F868" s="363"/>
      <c r="G868" s="364"/>
      <c r="H868" s="363"/>
      <c r="I868" s="363"/>
      <c r="J868" s="364"/>
      <c r="K868" s="363"/>
      <c r="L868" s="363"/>
      <c r="M868" s="737"/>
      <c r="N868" s="332"/>
      <c r="O868" s="332"/>
      <c r="P868" s="332"/>
      <c r="Q868" s="332"/>
      <c r="R868" s="332"/>
      <c r="S868" s="332"/>
      <c r="T868" s="332"/>
    </row>
    <row r="869" spans="1:20" x14ac:dyDescent="0.6">
      <c r="A869" s="334"/>
      <c r="B869" s="610"/>
      <c r="C869" s="365"/>
      <c r="D869" s="364"/>
      <c r="E869" s="363"/>
      <c r="F869" s="363"/>
      <c r="G869" s="364"/>
      <c r="H869" s="363"/>
      <c r="I869" s="363"/>
      <c r="J869" s="364"/>
      <c r="K869" s="363"/>
      <c r="L869" s="363"/>
      <c r="M869" s="737"/>
      <c r="N869" s="332"/>
      <c r="O869" s="332"/>
      <c r="P869" s="332"/>
      <c r="Q869" s="332"/>
      <c r="R869" s="332"/>
      <c r="S869" s="332"/>
      <c r="T869" s="332"/>
    </row>
    <row r="870" spans="1:20" x14ac:dyDescent="0.6">
      <c r="A870" s="334"/>
      <c r="B870" s="610"/>
      <c r="C870" s="365"/>
      <c r="D870" s="364"/>
      <c r="E870" s="363"/>
      <c r="F870" s="363"/>
      <c r="G870" s="364"/>
      <c r="H870" s="363"/>
      <c r="I870" s="363"/>
      <c r="J870" s="364"/>
      <c r="K870" s="363"/>
      <c r="L870" s="363"/>
      <c r="M870" s="737"/>
      <c r="N870" s="332"/>
      <c r="O870" s="332"/>
      <c r="P870" s="332"/>
      <c r="Q870" s="332"/>
      <c r="R870" s="332"/>
      <c r="S870" s="332"/>
      <c r="T870" s="332"/>
    </row>
    <row r="871" spans="1:20" x14ac:dyDescent="0.6">
      <c r="A871" s="334"/>
      <c r="B871" s="610"/>
      <c r="C871" s="365"/>
      <c r="D871" s="364"/>
      <c r="E871" s="363"/>
      <c r="F871" s="363"/>
      <c r="G871" s="364"/>
      <c r="H871" s="363"/>
      <c r="I871" s="363"/>
      <c r="J871" s="364"/>
      <c r="K871" s="363"/>
      <c r="L871" s="363"/>
      <c r="M871" s="737"/>
      <c r="N871" s="332"/>
      <c r="O871" s="332"/>
      <c r="P871" s="332"/>
      <c r="Q871" s="332"/>
      <c r="R871" s="332"/>
      <c r="S871" s="332"/>
      <c r="T871" s="332"/>
    </row>
    <row r="872" spans="1:20" x14ac:dyDescent="0.6">
      <c r="A872" s="334"/>
      <c r="B872" s="610"/>
      <c r="C872" s="365"/>
      <c r="D872" s="364"/>
      <c r="E872" s="363"/>
      <c r="F872" s="363"/>
      <c r="G872" s="364"/>
      <c r="H872" s="363"/>
      <c r="I872" s="363"/>
      <c r="J872" s="364"/>
      <c r="K872" s="363"/>
      <c r="L872" s="363"/>
      <c r="M872" s="737"/>
      <c r="N872" s="332"/>
      <c r="O872" s="332"/>
      <c r="P872" s="332"/>
      <c r="Q872" s="332"/>
      <c r="R872" s="332"/>
      <c r="S872" s="332"/>
      <c r="T872" s="332"/>
    </row>
    <row r="873" spans="1:20" x14ac:dyDescent="0.6">
      <c r="A873" s="334"/>
      <c r="B873" s="610"/>
      <c r="C873" s="365"/>
      <c r="D873" s="364"/>
      <c r="E873" s="363"/>
      <c r="F873" s="363"/>
      <c r="G873" s="364"/>
      <c r="H873" s="363"/>
      <c r="I873" s="363"/>
      <c r="J873" s="364"/>
      <c r="K873" s="363"/>
      <c r="L873" s="363"/>
      <c r="M873" s="737"/>
      <c r="N873" s="332"/>
      <c r="O873" s="332"/>
      <c r="P873" s="332"/>
      <c r="Q873" s="332"/>
      <c r="R873" s="332"/>
      <c r="S873" s="332"/>
      <c r="T873" s="332"/>
    </row>
    <row r="874" spans="1:20" x14ac:dyDescent="0.6">
      <c r="A874" s="334"/>
      <c r="B874" s="610"/>
      <c r="C874" s="365"/>
      <c r="D874" s="364"/>
      <c r="E874" s="363"/>
      <c r="F874" s="363"/>
      <c r="G874" s="364"/>
      <c r="H874" s="363"/>
      <c r="I874" s="363"/>
      <c r="J874" s="364"/>
      <c r="K874" s="363"/>
      <c r="L874" s="363"/>
      <c r="M874" s="737"/>
      <c r="N874" s="332"/>
      <c r="O874" s="332"/>
      <c r="P874" s="332"/>
      <c r="Q874" s="332"/>
      <c r="R874" s="332"/>
      <c r="S874" s="332"/>
      <c r="T874" s="332"/>
    </row>
    <row r="875" spans="1:20" x14ac:dyDescent="0.6">
      <c r="A875" s="334"/>
      <c r="B875" s="610"/>
      <c r="C875" s="365"/>
      <c r="D875" s="364"/>
      <c r="E875" s="363"/>
      <c r="F875" s="363"/>
      <c r="G875" s="364"/>
      <c r="H875" s="363"/>
      <c r="I875" s="363"/>
      <c r="J875" s="364"/>
      <c r="K875" s="363"/>
      <c r="L875" s="363"/>
      <c r="M875" s="737"/>
      <c r="N875" s="332"/>
      <c r="O875" s="332"/>
      <c r="P875" s="332"/>
      <c r="Q875" s="332"/>
      <c r="R875" s="332"/>
      <c r="S875" s="332"/>
      <c r="T875" s="332"/>
    </row>
    <row r="876" spans="1:20" x14ac:dyDescent="0.6">
      <c r="A876" s="334"/>
      <c r="B876" s="610"/>
      <c r="C876" s="365"/>
      <c r="D876" s="364"/>
      <c r="E876" s="363"/>
      <c r="F876" s="363"/>
      <c r="G876" s="364"/>
      <c r="H876" s="363"/>
      <c r="I876" s="363"/>
      <c r="J876" s="364"/>
      <c r="K876" s="363"/>
      <c r="L876" s="363"/>
      <c r="M876" s="737"/>
      <c r="N876" s="332"/>
      <c r="O876" s="332"/>
      <c r="P876" s="332"/>
      <c r="Q876" s="332"/>
      <c r="R876" s="332"/>
      <c r="S876" s="332"/>
      <c r="T876" s="332"/>
    </row>
    <row r="877" spans="1:20" x14ac:dyDescent="0.6">
      <c r="A877" s="334"/>
      <c r="B877" s="610"/>
      <c r="C877" s="365"/>
      <c r="D877" s="364"/>
      <c r="E877" s="363"/>
      <c r="F877" s="363"/>
      <c r="G877" s="364"/>
      <c r="H877" s="363"/>
      <c r="I877" s="363"/>
      <c r="J877" s="364"/>
      <c r="K877" s="363"/>
      <c r="L877" s="363"/>
      <c r="M877" s="737"/>
      <c r="N877" s="332"/>
      <c r="O877" s="332"/>
      <c r="P877" s="332"/>
      <c r="Q877" s="332"/>
      <c r="R877" s="332"/>
      <c r="S877" s="332"/>
      <c r="T877" s="332"/>
    </row>
    <row r="878" spans="1:20" x14ac:dyDescent="0.6">
      <c r="A878" s="334"/>
      <c r="B878" s="610"/>
      <c r="C878" s="365"/>
      <c r="D878" s="364"/>
      <c r="E878" s="363"/>
      <c r="F878" s="363"/>
      <c r="G878" s="364"/>
      <c r="H878" s="363"/>
      <c r="I878" s="363"/>
      <c r="J878" s="364"/>
      <c r="K878" s="363"/>
      <c r="L878" s="363"/>
      <c r="M878" s="737"/>
      <c r="N878" s="332"/>
      <c r="O878" s="332"/>
      <c r="P878" s="332"/>
      <c r="Q878" s="332"/>
      <c r="R878" s="332"/>
      <c r="S878" s="332"/>
      <c r="T878" s="332"/>
    </row>
    <row r="879" spans="1:20" x14ac:dyDescent="0.6">
      <c r="A879" s="334"/>
      <c r="B879" s="610"/>
      <c r="C879" s="365"/>
      <c r="D879" s="364"/>
      <c r="E879" s="363"/>
      <c r="F879" s="363"/>
      <c r="G879" s="364"/>
      <c r="H879" s="363"/>
      <c r="I879" s="363"/>
      <c r="J879" s="364"/>
      <c r="K879" s="363"/>
      <c r="L879" s="363"/>
      <c r="M879" s="737"/>
      <c r="N879" s="332"/>
      <c r="O879" s="332"/>
      <c r="P879" s="332"/>
      <c r="Q879" s="332"/>
      <c r="R879" s="332"/>
      <c r="S879" s="332"/>
      <c r="T879" s="332"/>
    </row>
    <row r="880" spans="1:20" x14ac:dyDescent="0.6">
      <c r="A880" s="334"/>
      <c r="B880" s="610"/>
      <c r="C880" s="365"/>
      <c r="D880" s="364"/>
      <c r="E880" s="363"/>
      <c r="F880" s="363"/>
      <c r="G880" s="364"/>
      <c r="H880" s="363"/>
      <c r="I880" s="363"/>
      <c r="J880" s="364"/>
      <c r="K880" s="363"/>
      <c r="L880" s="363"/>
      <c r="M880" s="737"/>
      <c r="N880" s="332"/>
      <c r="O880" s="332"/>
      <c r="P880" s="332"/>
      <c r="Q880" s="332"/>
      <c r="R880" s="332"/>
      <c r="S880" s="332"/>
      <c r="T880" s="332"/>
    </row>
    <row r="881" spans="1:20" x14ac:dyDescent="0.6">
      <c r="A881" s="334"/>
      <c r="B881" s="610"/>
      <c r="C881" s="365"/>
      <c r="D881" s="364"/>
      <c r="E881" s="363"/>
      <c r="F881" s="363"/>
      <c r="G881" s="364"/>
      <c r="H881" s="363"/>
      <c r="I881" s="363"/>
      <c r="J881" s="364"/>
      <c r="K881" s="363"/>
      <c r="L881" s="363"/>
      <c r="M881" s="737"/>
      <c r="N881" s="332"/>
      <c r="O881" s="332"/>
      <c r="P881" s="332"/>
      <c r="Q881" s="332"/>
      <c r="R881" s="332"/>
      <c r="S881" s="332"/>
      <c r="T881" s="332"/>
    </row>
    <row r="882" spans="1:20" x14ac:dyDescent="0.6">
      <c r="A882" s="334"/>
      <c r="B882" s="610"/>
      <c r="C882" s="365"/>
      <c r="D882" s="364"/>
      <c r="E882" s="363"/>
      <c r="F882" s="363"/>
      <c r="G882" s="364"/>
      <c r="H882" s="363"/>
      <c r="I882" s="363"/>
      <c r="J882" s="364"/>
      <c r="K882" s="363"/>
      <c r="L882" s="363"/>
      <c r="M882" s="737"/>
      <c r="N882" s="332"/>
      <c r="O882" s="332"/>
      <c r="P882" s="332"/>
      <c r="Q882" s="332"/>
      <c r="R882" s="332"/>
      <c r="S882" s="332"/>
      <c r="T882" s="332"/>
    </row>
    <row r="883" spans="1:20" x14ac:dyDescent="0.6">
      <c r="A883" s="334"/>
      <c r="B883" s="610"/>
      <c r="C883" s="365"/>
      <c r="D883" s="364"/>
      <c r="E883" s="363"/>
      <c r="F883" s="363"/>
      <c r="G883" s="364"/>
      <c r="H883" s="363"/>
      <c r="I883" s="363"/>
      <c r="J883" s="364"/>
      <c r="K883" s="363"/>
      <c r="L883" s="363"/>
      <c r="M883" s="737"/>
      <c r="N883" s="332"/>
      <c r="O883" s="332"/>
      <c r="P883" s="332"/>
      <c r="Q883" s="332"/>
      <c r="R883" s="332"/>
      <c r="S883" s="332"/>
      <c r="T883" s="332"/>
    </row>
    <row r="884" spans="1:20" x14ac:dyDescent="0.6">
      <c r="A884" s="334"/>
      <c r="B884" s="610"/>
      <c r="C884" s="365"/>
      <c r="D884" s="364"/>
      <c r="E884" s="363"/>
      <c r="F884" s="363"/>
      <c r="G884" s="364"/>
      <c r="H884" s="363"/>
      <c r="I884" s="363"/>
      <c r="J884" s="364"/>
      <c r="K884" s="363"/>
      <c r="L884" s="363"/>
      <c r="M884" s="737"/>
      <c r="N884" s="332"/>
      <c r="O884" s="332"/>
      <c r="P884" s="332"/>
      <c r="Q884" s="332"/>
      <c r="R884" s="332"/>
      <c r="S884" s="332"/>
      <c r="T884" s="332"/>
    </row>
    <row r="885" spans="1:20" x14ac:dyDescent="0.6">
      <c r="A885" s="334"/>
      <c r="B885" s="610"/>
      <c r="C885" s="365"/>
      <c r="D885" s="364"/>
      <c r="E885" s="363"/>
      <c r="F885" s="363"/>
      <c r="G885" s="364"/>
      <c r="H885" s="363"/>
      <c r="I885" s="363"/>
      <c r="J885" s="364"/>
      <c r="K885" s="363"/>
      <c r="L885" s="363"/>
      <c r="M885" s="737"/>
      <c r="N885" s="332"/>
      <c r="O885" s="332"/>
      <c r="P885" s="332"/>
      <c r="Q885" s="332"/>
      <c r="R885" s="332"/>
      <c r="S885" s="332"/>
      <c r="T885" s="332"/>
    </row>
    <row r="886" spans="1:20" x14ac:dyDescent="0.6">
      <c r="A886" s="334"/>
      <c r="B886" s="610"/>
      <c r="C886" s="365"/>
      <c r="D886" s="364"/>
      <c r="E886" s="363"/>
      <c r="F886" s="363"/>
      <c r="G886" s="364"/>
      <c r="H886" s="363"/>
      <c r="I886" s="363"/>
      <c r="J886" s="364"/>
      <c r="K886" s="363"/>
      <c r="L886" s="363"/>
      <c r="M886" s="737"/>
      <c r="N886" s="332"/>
      <c r="O886" s="332"/>
      <c r="P886" s="332"/>
      <c r="Q886" s="332"/>
      <c r="R886" s="332"/>
      <c r="S886" s="332"/>
      <c r="T886" s="332"/>
    </row>
    <row r="887" spans="1:20" x14ac:dyDescent="0.6">
      <c r="A887" s="334"/>
      <c r="B887" s="610"/>
      <c r="C887" s="365"/>
      <c r="D887" s="364"/>
      <c r="E887" s="363"/>
      <c r="F887" s="363"/>
      <c r="G887" s="364"/>
      <c r="H887" s="363"/>
      <c r="I887" s="363"/>
      <c r="J887" s="364"/>
      <c r="K887" s="363"/>
      <c r="L887" s="363"/>
      <c r="M887" s="737"/>
      <c r="N887" s="332"/>
      <c r="O887" s="332"/>
      <c r="P887" s="332"/>
      <c r="Q887" s="332"/>
      <c r="R887" s="332"/>
      <c r="S887" s="332"/>
      <c r="T887" s="332"/>
    </row>
    <row r="888" spans="1:20" x14ac:dyDescent="0.6">
      <c r="A888" s="334"/>
      <c r="B888" s="610"/>
      <c r="C888" s="365"/>
      <c r="D888" s="364"/>
      <c r="E888" s="363"/>
      <c r="F888" s="363"/>
      <c r="G888" s="364"/>
      <c r="H888" s="363"/>
      <c r="I888" s="363"/>
      <c r="J888" s="364"/>
      <c r="K888" s="363"/>
      <c r="L888" s="363"/>
      <c r="M888" s="737"/>
      <c r="N888" s="332"/>
      <c r="O888" s="332"/>
      <c r="P888" s="332"/>
      <c r="Q888" s="332"/>
      <c r="R888" s="332"/>
      <c r="S888" s="332"/>
      <c r="T888" s="332"/>
    </row>
    <row r="889" spans="1:20" x14ac:dyDescent="0.6">
      <c r="A889" s="334"/>
      <c r="B889" s="610"/>
      <c r="C889" s="365"/>
      <c r="D889" s="364"/>
      <c r="E889" s="363"/>
      <c r="F889" s="363"/>
      <c r="G889" s="364"/>
      <c r="H889" s="363"/>
      <c r="I889" s="363"/>
      <c r="J889" s="364"/>
      <c r="K889" s="363"/>
      <c r="L889" s="363"/>
      <c r="M889" s="737"/>
      <c r="N889" s="332"/>
      <c r="O889" s="332"/>
      <c r="P889" s="332"/>
      <c r="Q889" s="332"/>
      <c r="R889" s="332"/>
      <c r="S889" s="332"/>
      <c r="T889" s="332"/>
    </row>
    <row r="890" spans="1:20" x14ac:dyDescent="0.6">
      <c r="A890" s="334"/>
      <c r="B890" s="610"/>
      <c r="C890" s="365"/>
      <c r="D890" s="364"/>
      <c r="E890" s="363"/>
      <c r="F890" s="363"/>
      <c r="G890" s="364"/>
      <c r="H890" s="363"/>
      <c r="I890" s="363"/>
      <c r="J890" s="364"/>
      <c r="K890" s="363"/>
      <c r="L890" s="363"/>
      <c r="M890" s="737"/>
      <c r="N890" s="332"/>
      <c r="O890" s="332"/>
      <c r="P890" s="332"/>
      <c r="Q890" s="332"/>
      <c r="R890" s="332"/>
      <c r="S890" s="332"/>
      <c r="T890" s="332"/>
    </row>
    <row r="891" spans="1:20" x14ac:dyDescent="0.6">
      <c r="A891" s="334"/>
      <c r="B891" s="610"/>
      <c r="C891" s="365"/>
      <c r="D891" s="364"/>
      <c r="E891" s="363"/>
      <c r="F891" s="363"/>
      <c r="G891" s="364"/>
      <c r="H891" s="363"/>
      <c r="I891" s="363"/>
      <c r="J891" s="364"/>
      <c r="K891" s="363"/>
      <c r="L891" s="363"/>
      <c r="M891" s="737"/>
      <c r="N891" s="332"/>
      <c r="O891" s="332"/>
      <c r="P891" s="332"/>
      <c r="Q891" s="332"/>
      <c r="R891" s="332"/>
      <c r="S891" s="332"/>
      <c r="T891" s="332"/>
    </row>
    <row r="892" spans="1:20" x14ac:dyDescent="0.6">
      <c r="A892" s="334"/>
      <c r="B892" s="610"/>
      <c r="C892" s="365"/>
      <c r="D892" s="364"/>
      <c r="E892" s="363"/>
      <c r="F892" s="363"/>
      <c r="G892" s="364"/>
      <c r="H892" s="363"/>
      <c r="I892" s="363"/>
      <c r="J892" s="364"/>
      <c r="K892" s="363"/>
      <c r="L892" s="363"/>
      <c r="M892" s="737"/>
      <c r="N892" s="332"/>
      <c r="O892" s="332"/>
      <c r="P892" s="332"/>
      <c r="Q892" s="332"/>
      <c r="R892" s="332"/>
      <c r="S892" s="332"/>
      <c r="T892" s="332"/>
    </row>
    <row r="893" spans="1:20" x14ac:dyDescent="0.6">
      <c r="A893" s="334"/>
      <c r="B893" s="610"/>
      <c r="C893" s="365"/>
      <c r="D893" s="364"/>
      <c r="E893" s="363"/>
      <c r="F893" s="363"/>
      <c r="G893" s="364"/>
      <c r="H893" s="363"/>
      <c r="I893" s="363"/>
      <c r="J893" s="364"/>
      <c r="K893" s="363"/>
      <c r="L893" s="363"/>
      <c r="M893" s="737"/>
      <c r="N893" s="332"/>
      <c r="O893" s="332"/>
      <c r="P893" s="332"/>
      <c r="Q893" s="332"/>
      <c r="R893" s="332"/>
      <c r="S893" s="332"/>
      <c r="T893" s="332"/>
    </row>
    <row r="894" spans="1:20" x14ac:dyDescent="0.6">
      <c r="A894" s="334"/>
      <c r="B894" s="610"/>
      <c r="C894" s="365"/>
      <c r="D894" s="364"/>
      <c r="E894" s="363"/>
      <c r="F894" s="363"/>
      <c r="G894" s="364"/>
      <c r="H894" s="363"/>
      <c r="I894" s="363"/>
      <c r="J894" s="364"/>
      <c r="K894" s="363"/>
      <c r="L894" s="363"/>
      <c r="M894" s="737"/>
      <c r="N894" s="332"/>
      <c r="O894" s="332"/>
      <c r="P894" s="332"/>
      <c r="Q894" s="332"/>
      <c r="R894" s="332"/>
      <c r="S894" s="332"/>
      <c r="T894" s="332"/>
    </row>
    <row r="895" spans="1:20" x14ac:dyDescent="0.6">
      <c r="A895" s="334"/>
      <c r="B895" s="610"/>
      <c r="C895" s="365"/>
      <c r="D895" s="364"/>
      <c r="E895" s="363"/>
      <c r="F895" s="363"/>
      <c r="G895" s="364"/>
      <c r="H895" s="363"/>
      <c r="I895" s="363"/>
      <c r="J895" s="364"/>
      <c r="K895" s="363"/>
      <c r="L895" s="363"/>
      <c r="M895" s="737"/>
      <c r="N895" s="332"/>
      <c r="O895" s="332"/>
      <c r="P895" s="332"/>
      <c r="Q895" s="332"/>
      <c r="R895" s="332"/>
      <c r="S895" s="332"/>
      <c r="T895" s="332"/>
    </row>
    <row r="896" spans="1:20" x14ac:dyDescent="0.6">
      <c r="A896" s="334"/>
      <c r="B896" s="610"/>
      <c r="C896" s="365"/>
      <c r="D896" s="364"/>
      <c r="E896" s="363"/>
      <c r="F896" s="363"/>
      <c r="G896" s="364"/>
      <c r="H896" s="363"/>
      <c r="I896" s="363"/>
      <c r="J896" s="364"/>
      <c r="K896" s="363"/>
      <c r="L896" s="363"/>
      <c r="M896" s="737"/>
      <c r="N896" s="332"/>
      <c r="O896" s="332"/>
      <c r="P896" s="332"/>
      <c r="Q896" s="332"/>
      <c r="R896" s="332"/>
      <c r="S896" s="332"/>
      <c r="T896" s="332"/>
    </row>
    <row r="897" spans="1:20" x14ac:dyDescent="0.6">
      <c r="A897" s="334"/>
      <c r="B897" s="610"/>
      <c r="C897" s="365"/>
      <c r="D897" s="364"/>
      <c r="E897" s="363"/>
      <c r="F897" s="363"/>
      <c r="G897" s="364"/>
      <c r="H897" s="363"/>
      <c r="I897" s="363"/>
      <c r="J897" s="364"/>
      <c r="K897" s="363"/>
      <c r="L897" s="363"/>
      <c r="M897" s="737"/>
      <c r="N897" s="332"/>
      <c r="O897" s="332"/>
      <c r="P897" s="332"/>
      <c r="Q897" s="332"/>
      <c r="R897" s="332"/>
      <c r="S897" s="332"/>
      <c r="T897" s="332"/>
    </row>
    <row r="898" spans="1:20" x14ac:dyDescent="0.6">
      <c r="A898" s="334"/>
      <c r="B898" s="610"/>
      <c r="C898" s="365"/>
      <c r="D898" s="364"/>
      <c r="E898" s="363"/>
      <c r="F898" s="363"/>
      <c r="G898" s="364"/>
      <c r="H898" s="363"/>
      <c r="I898" s="363"/>
      <c r="J898" s="364"/>
      <c r="K898" s="363"/>
      <c r="L898" s="363"/>
      <c r="M898" s="737"/>
      <c r="N898" s="332"/>
      <c r="O898" s="332"/>
      <c r="P898" s="332"/>
      <c r="Q898" s="332"/>
      <c r="R898" s="332"/>
      <c r="S898" s="332"/>
      <c r="T898" s="332"/>
    </row>
    <row r="899" spans="1:20" x14ac:dyDescent="0.6">
      <c r="A899" s="334"/>
      <c r="B899" s="610"/>
      <c r="C899" s="365"/>
      <c r="D899" s="364"/>
      <c r="E899" s="363"/>
      <c r="F899" s="363"/>
      <c r="G899" s="364"/>
      <c r="H899" s="363"/>
      <c r="I899" s="363"/>
      <c r="J899" s="364"/>
      <c r="K899" s="363"/>
      <c r="L899" s="363"/>
      <c r="M899" s="737"/>
      <c r="N899" s="332"/>
      <c r="O899" s="332"/>
      <c r="P899" s="332"/>
      <c r="Q899" s="332"/>
      <c r="R899" s="332"/>
      <c r="S899" s="332"/>
      <c r="T899" s="332"/>
    </row>
    <row r="900" spans="1:20" x14ac:dyDescent="0.6">
      <c r="A900" s="334"/>
      <c r="B900" s="610"/>
      <c r="C900" s="365"/>
      <c r="D900" s="364"/>
      <c r="E900" s="363"/>
      <c r="F900" s="363"/>
      <c r="G900" s="364"/>
      <c r="H900" s="363"/>
      <c r="I900" s="363"/>
      <c r="J900" s="364"/>
      <c r="K900" s="363"/>
      <c r="L900" s="363"/>
      <c r="M900" s="737"/>
      <c r="N900" s="332"/>
      <c r="O900" s="332"/>
      <c r="P900" s="332"/>
      <c r="Q900" s="332"/>
      <c r="R900" s="332"/>
      <c r="S900" s="332"/>
      <c r="T900" s="332"/>
    </row>
    <row r="901" spans="1:20" x14ac:dyDescent="0.6">
      <c r="A901" s="334"/>
      <c r="B901" s="610"/>
      <c r="C901" s="365"/>
      <c r="D901" s="364"/>
      <c r="E901" s="363"/>
      <c r="F901" s="363"/>
      <c r="G901" s="364"/>
      <c r="H901" s="363"/>
      <c r="I901" s="363"/>
      <c r="J901" s="364"/>
      <c r="K901" s="363"/>
      <c r="L901" s="363"/>
      <c r="M901" s="737"/>
      <c r="N901" s="332"/>
      <c r="O901" s="332"/>
      <c r="P901" s="332"/>
      <c r="Q901" s="332"/>
      <c r="R901" s="332"/>
      <c r="S901" s="332"/>
      <c r="T901" s="332"/>
    </row>
    <row r="902" spans="1:20" x14ac:dyDescent="0.6">
      <c r="A902" s="334"/>
      <c r="B902" s="610"/>
      <c r="C902" s="365"/>
      <c r="D902" s="364"/>
      <c r="E902" s="363"/>
      <c r="F902" s="363"/>
      <c r="G902" s="364"/>
      <c r="H902" s="363"/>
      <c r="I902" s="363"/>
      <c r="J902" s="364"/>
      <c r="K902" s="363"/>
      <c r="L902" s="363"/>
      <c r="M902" s="737"/>
      <c r="N902" s="332"/>
      <c r="O902" s="332"/>
      <c r="P902" s="332"/>
      <c r="Q902" s="332"/>
      <c r="R902" s="332"/>
      <c r="S902" s="332"/>
      <c r="T902" s="332"/>
    </row>
    <row r="903" spans="1:20" x14ac:dyDescent="0.6">
      <c r="A903" s="334"/>
      <c r="B903" s="610"/>
      <c r="C903" s="365"/>
      <c r="D903" s="364"/>
      <c r="E903" s="363"/>
      <c r="F903" s="363"/>
      <c r="G903" s="364"/>
      <c r="H903" s="363"/>
      <c r="I903" s="363"/>
      <c r="J903" s="364"/>
      <c r="K903" s="363"/>
      <c r="L903" s="363"/>
      <c r="M903" s="737"/>
      <c r="N903" s="332"/>
      <c r="O903" s="332"/>
      <c r="P903" s="332"/>
      <c r="Q903" s="332"/>
      <c r="R903" s="332"/>
      <c r="S903" s="332"/>
      <c r="T903" s="332"/>
    </row>
    <row r="904" spans="1:20" x14ac:dyDescent="0.6">
      <c r="A904" s="334"/>
      <c r="B904" s="610"/>
      <c r="C904" s="365"/>
      <c r="D904" s="364"/>
      <c r="E904" s="363"/>
      <c r="F904" s="363"/>
      <c r="G904" s="364"/>
      <c r="H904" s="363"/>
      <c r="I904" s="363"/>
      <c r="J904" s="364"/>
      <c r="K904" s="363"/>
      <c r="L904" s="363"/>
      <c r="M904" s="737"/>
      <c r="N904" s="332"/>
      <c r="O904" s="332"/>
      <c r="P904" s="332"/>
      <c r="Q904" s="332"/>
      <c r="R904" s="332"/>
      <c r="S904" s="332"/>
      <c r="T904" s="332"/>
    </row>
    <row r="905" spans="1:20" x14ac:dyDescent="0.6">
      <c r="A905" s="334"/>
      <c r="B905" s="610"/>
      <c r="C905" s="365"/>
      <c r="D905" s="364"/>
      <c r="E905" s="363"/>
      <c r="F905" s="363"/>
      <c r="G905" s="364"/>
      <c r="H905" s="363"/>
      <c r="I905" s="363"/>
      <c r="J905" s="364"/>
      <c r="K905" s="363"/>
      <c r="L905" s="363"/>
      <c r="M905" s="737"/>
      <c r="N905" s="332"/>
      <c r="O905" s="332"/>
      <c r="P905" s="332"/>
      <c r="Q905" s="332"/>
      <c r="R905" s="332"/>
      <c r="S905" s="332"/>
      <c r="T905" s="332"/>
    </row>
    <row r="906" spans="1:20" x14ac:dyDescent="0.6">
      <c r="A906" s="334"/>
      <c r="B906" s="610"/>
      <c r="C906" s="365"/>
      <c r="D906" s="364"/>
      <c r="E906" s="363"/>
      <c r="F906" s="363"/>
      <c r="G906" s="364"/>
      <c r="H906" s="363"/>
      <c r="I906" s="363"/>
      <c r="J906" s="364"/>
      <c r="K906" s="363"/>
      <c r="L906" s="363"/>
      <c r="M906" s="737"/>
      <c r="N906" s="332"/>
      <c r="O906" s="332"/>
      <c r="P906" s="332"/>
      <c r="Q906" s="332"/>
      <c r="R906" s="332"/>
      <c r="S906" s="332"/>
      <c r="T906" s="332"/>
    </row>
    <row r="907" spans="1:20" x14ac:dyDescent="0.6">
      <c r="A907" s="334"/>
      <c r="B907" s="610"/>
      <c r="C907" s="365"/>
      <c r="D907" s="364"/>
      <c r="E907" s="363"/>
      <c r="F907" s="363"/>
      <c r="G907" s="364"/>
      <c r="H907" s="363"/>
      <c r="I907" s="363"/>
      <c r="J907" s="364"/>
      <c r="K907" s="363"/>
      <c r="L907" s="363"/>
      <c r="M907" s="737"/>
      <c r="N907" s="332"/>
      <c r="O907" s="332"/>
      <c r="P907" s="332"/>
      <c r="Q907" s="332"/>
      <c r="R907" s="332"/>
      <c r="S907" s="332"/>
      <c r="T907" s="332"/>
    </row>
    <row r="908" spans="1:20" x14ac:dyDescent="0.6">
      <c r="A908" s="334"/>
      <c r="B908" s="610"/>
      <c r="C908" s="365"/>
      <c r="D908" s="364"/>
      <c r="E908" s="363"/>
      <c r="F908" s="363"/>
      <c r="G908" s="364"/>
      <c r="H908" s="363"/>
      <c r="I908" s="363"/>
      <c r="J908" s="364"/>
      <c r="K908" s="363"/>
      <c r="L908" s="363"/>
      <c r="M908" s="737"/>
      <c r="N908" s="332"/>
      <c r="O908" s="332"/>
      <c r="P908" s="332"/>
      <c r="Q908" s="332"/>
      <c r="R908" s="332"/>
      <c r="S908" s="332"/>
      <c r="T908" s="332"/>
    </row>
    <row r="909" spans="1:20" x14ac:dyDescent="0.6">
      <c r="A909" s="334"/>
      <c r="B909" s="610"/>
      <c r="C909" s="365"/>
      <c r="D909" s="364"/>
      <c r="E909" s="363"/>
      <c r="F909" s="363"/>
      <c r="G909" s="364"/>
      <c r="H909" s="363"/>
      <c r="I909" s="363"/>
      <c r="J909" s="364"/>
      <c r="K909" s="363"/>
      <c r="L909" s="363"/>
      <c r="M909" s="737"/>
      <c r="N909" s="332"/>
      <c r="O909" s="332"/>
      <c r="P909" s="332"/>
      <c r="Q909" s="332"/>
      <c r="R909" s="332"/>
      <c r="S909" s="332"/>
      <c r="T909" s="332"/>
    </row>
    <row r="910" spans="1:20" x14ac:dyDescent="0.6">
      <c r="A910" s="334"/>
      <c r="B910" s="610"/>
      <c r="C910" s="365"/>
      <c r="D910" s="364"/>
      <c r="E910" s="363"/>
      <c r="F910" s="363"/>
      <c r="G910" s="364"/>
      <c r="H910" s="363"/>
      <c r="I910" s="363"/>
      <c r="J910" s="364"/>
      <c r="K910" s="363"/>
      <c r="L910" s="363"/>
      <c r="M910" s="737"/>
      <c r="N910" s="332"/>
      <c r="O910" s="332"/>
      <c r="P910" s="332"/>
      <c r="Q910" s="332"/>
      <c r="R910" s="332"/>
      <c r="S910" s="332"/>
      <c r="T910" s="332"/>
    </row>
    <row r="911" spans="1:20" x14ac:dyDescent="0.6">
      <c r="A911" s="334"/>
      <c r="B911" s="610"/>
      <c r="C911" s="365"/>
      <c r="D911" s="364"/>
      <c r="E911" s="363"/>
      <c r="F911" s="363"/>
      <c r="G911" s="364"/>
      <c r="H911" s="363"/>
      <c r="I911" s="363"/>
      <c r="J911" s="364"/>
      <c r="K911" s="363"/>
      <c r="L911" s="363"/>
      <c r="M911" s="737"/>
      <c r="N911" s="332"/>
      <c r="O911" s="332"/>
      <c r="P911" s="332"/>
      <c r="Q911" s="332"/>
      <c r="R911" s="332"/>
      <c r="S911" s="332"/>
      <c r="T911" s="332"/>
    </row>
    <row r="912" spans="1:20" x14ac:dyDescent="0.6">
      <c r="A912" s="334"/>
      <c r="B912" s="610"/>
      <c r="C912" s="365"/>
      <c r="D912" s="364"/>
      <c r="E912" s="363"/>
      <c r="F912" s="363"/>
      <c r="G912" s="364"/>
      <c r="H912" s="363"/>
      <c r="I912" s="363"/>
      <c r="J912" s="364"/>
      <c r="K912" s="363"/>
      <c r="L912" s="363"/>
      <c r="M912" s="737"/>
      <c r="N912" s="332"/>
      <c r="O912" s="332"/>
      <c r="P912" s="332"/>
      <c r="Q912" s="332"/>
      <c r="R912" s="332"/>
      <c r="S912" s="332"/>
      <c r="T912" s="332"/>
    </row>
    <row r="913" spans="1:20" x14ac:dyDescent="0.6">
      <c r="A913" s="334"/>
      <c r="B913" s="610"/>
      <c r="C913" s="365"/>
      <c r="D913" s="364"/>
      <c r="E913" s="363"/>
      <c r="F913" s="363"/>
      <c r="G913" s="364"/>
      <c r="H913" s="363"/>
      <c r="I913" s="363"/>
      <c r="J913" s="364"/>
      <c r="K913" s="363"/>
      <c r="L913" s="363"/>
      <c r="M913" s="737"/>
      <c r="N913" s="332"/>
      <c r="O913" s="332"/>
      <c r="P913" s="332"/>
      <c r="Q913" s="332"/>
      <c r="R913" s="332"/>
      <c r="S913" s="332"/>
      <c r="T913" s="332"/>
    </row>
    <row r="914" spans="1:20" x14ac:dyDescent="0.6">
      <c r="A914" s="334"/>
      <c r="B914" s="610"/>
      <c r="C914" s="365"/>
      <c r="D914" s="364"/>
      <c r="E914" s="363"/>
      <c r="F914" s="363"/>
      <c r="G914" s="364"/>
      <c r="H914" s="363"/>
      <c r="I914" s="363"/>
      <c r="J914" s="364"/>
      <c r="K914" s="363"/>
      <c r="L914" s="363"/>
      <c r="M914" s="737"/>
      <c r="N914" s="332"/>
      <c r="O914" s="332"/>
      <c r="P914" s="332"/>
      <c r="Q914" s="332"/>
      <c r="R914" s="332"/>
      <c r="S914" s="332"/>
      <c r="T914" s="332"/>
    </row>
    <row r="915" spans="1:20" x14ac:dyDescent="0.6">
      <c r="A915" s="334"/>
      <c r="B915" s="610"/>
      <c r="C915" s="365"/>
      <c r="D915" s="364"/>
      <c r="E915" s="363"/>
      <c r="F915" s="363"/>
      <c r="G915" s="364"/>
      <c r="H915" s="363"/>
      <c r="I915" s="363"/>
      <c r="J915" s="364"/>
      <c r="K915" s="363"/>
      <c r="L915" s="363"/>
      <c r="M915" s="737"/>
      <c r="N915" s="332"/>
      <c r="O915" s="332"/>
      <c r="P915" s="332"/>
      <c r="Q915" s="332"/>
      <c r="R915" s="332"/>
      <c r="S915" s="332"/>
      <c r="T915" s="332"/>
    </row>
    <row r="916" spans="1:20" x14ac:dyDescent="0.6">
      <c r="A916" s="334"/>
      <c r="B916" s="610"/>
      <c r="C916" s="365"/>
      <c r="D916" s="364"/>
      <c r="E916" s="363"/>
      <c r="F916" s="363"/>
      <c r="G916" s="364"/>
      <c r="H916" s="363"/>
      <c r="I916" s="363"/>
      <c r="J916" s="364"/>
      <c r="K916" s="363"/>
      <c r="L916" s="363"/>
      <c r="M916" s="737"/>
      <c r="N916" s="332"/>
      <c r="O916" s="332"/>
      <c r="P916" s="332"/>
      <c r="Q916" s="332"/>
      <c r="R916" s="332"/>
      <c r="S916" s="332"/>
      <c r="T916" s="332"/>
    </row>
    <row r="917" spans="1:20" x14ac:dyDescent="0.6">
      <c r="A917" s="334"/>
      <c r="B917" s="610"/>
      <c r="C917" s="365"/>
      <c r="D917" s="364"/>
      <c r="E917" s="363"/>
      <c r="F917" s="363"/>
      <c r="G917" s="364"/>
      <c r="H917" s="363"/>
      <c r="I917" s="363"/>
      <c r="J917" s="364"/>
      <c r="K917" s="363"/>
      <c r="L917" s="363"/>
      <c r="M917" s="737"/>
      <c r="N917" s="332"/>
      <c r="O917" s="332"/>
      <c r="P917" s="332"/>
      <c r="Q917" s="332"/>
      <c r="R917" s="332"/>
      <c r="S917" s="332"/>
      <c r="T917" s="332"/>
    </row>
    <row r="918" spans="1:20" x14ac:dyDescent="0.6">
      <c r="A918" s="334"/>
      <c r="B918" s="610"/>
      <c r="C918" s="365"/>
      <c r="D918" s="364"/>
      <c r="E918" s="363"/>
      <c r="F918" s="363"/>
      <c r="G918" s="364"/>
      <c r="H918" s="363"/>
      <c r="I918" s="363"/>
      <c r="J918" s="364"/>
      <c r="K918" s="363"/>
      <c r="L918" s="363"/>
      <c r="M918" s="737"/>
      <c r="N918" s="332"/>
      <c r="O918" s="332"/>
      <c r="P918" s="332"/>
      <c r="Q918" s="332"/>
      <c r="R918" s="332"/>
      <c r="S918" s="332"/>
      <c r="T918" s="332"/>
    </row>
    <row r="919" spans="1:20" x14ac:dyDescent="0.6">
      <c r="A919" s="334"/>
      <c r="B919" s="610"/>
      <c r="C919" s="365"/>
      <c r="D919" s="364"/>
      <c r="E919" s="363"/>
      <c r="F919" s="363"/>
      <c r="G919" s="364"/>
      <c r="H919" s="363"/>
      <c r="I919" s="363"/>
      <c r="J919" s="364"/>
      <c r="K919" s="363"/>
      <c r="L919" s="363"/>
      <c r="M919" s="737"/>
      <c r="N919" s="332"/>
      <c r="O919" s="332"/>
      <c r="P919" s="332"/>
      <c r="Q919" s="332"/>
      <c r="R919" s="332"/>
      <c r="S919" s="332"/>
      <c r="T919" s="332"/>
    </row>
    <row r="920" spans="1:20" x14ac:dyDescent="0.6">
      <c r="A920" s="334"/>
      <c r="B920" s="610"/>
      <c r="C920" s="365"/>
      <c r="D920" s="364"/>
      <c r="E920" s="363"/>
      <c r="F920" s="363"/>
      <c r="G920" s="364"/>
      <c r="H920" s="363"/>
      <c r="I920" s="363"/>
      <c r="J920" s="364"/>
      <c r="K920" s="363"/>
      <c r="L920" s="363"/>
      <c r="M920" s="737"/>
      <c r="N920" s="332"/>
      <c r="O920" s="332"/>
      <c r="P920" s="332"/>
      <c r="Q920" s="332"/>
      <c r="R920" s="332"/>
      <c r="S920" s="332"/>
      <c r="T920" s="332"/>
    </row>
    <row r="921" spans="1:20" x14ac:dyDescent="0.6">
      <c r="A921" s="334"/>
      <c r="B921" s="610"/>
      <c r="C921" s="365"/>
      <c r="D921" s="364"/>
      <c r="E921" s="363"/>
      <c r="F921" s="363"/>
      <c r="G921" s="364"/>
      <c r="H921" s="363"/>
      <c r="I921" s="363"/>
      <c r="J921" s="364"/>
      <c r="K921" s="363"/>
      <c r="L921" s="363"/>
      <c r="M921" s="737"/>
      <c r="N921" s="332"/>
      <c r="O921" s="332"/>
      <c r="P921" s="332"/>
      <c r="Q921" s="332"/>
      <c r="R921" s="332"/>
      <c r="S921" s="332"/>
      <c r="T921" s="332"/>
    </row>
    <row r="922" spans="1:20" x14ac:dyDescent="0.6">
      <c r="A922" s="334"/>
      <c r="B922" s="610"/>
      <c r="C922" s="365"/>
      <c r="D922" s="364"/>
      <c r="E922" s="363"/>
      <c r="F922" s="363"/>
      <c r="G922" s="364"/>
      <c r="H922" s="363"/>
      <c r="I922" s="363"/>
      <c r="J922" s="364"/>
      <c r="K922" s="363"/>
      <c r="L922" s="363"/>
      <c r="M922" s="737"/>
      <c r="N922" s="332"/>
      <c r="O922" s="332"/>
      <c r="P922" s="332"/>
      <c r="Q922" s="332"/>
      <c r="R922" s="332"/>
      <c r="S922" s="332"/>
      <c r="T922" s="332"/>
    </row>
    <row r="923" spans="1:20" x14ac:dyDescent="0.6">
      <c r="A923" s="334"/>
      <c r="B923" s="610"/>
      <c r="C923" s="365"/>
      <c r="D923" s="364"/>
      <c r="E923" s="363"/>
      <c r="F923" s="363"/>
      <c r="G923" s="364"/>
      <c r="H923" s="363"/>
      <c r="I923" s="363"/>
      <c r="J923" s="364"/>
      <c r="K923" s="363"/>
      <c r="L923" s="363"/>
      <c r="M923" s="737"/>
      <c r="N923" s="332"/>
      <c r="O923" s="332"/>
      <c r="P923" s="332"/>
      <c r="Q923" s="332"/>
      <c r="R923" s="332"/>
      <c r="S923" s="332"/>
      <c r="T923" s="332"/>
    </row>
    <row r="924" spans="1:20" x14ac:dyDescent="0.6">
      <c r="A924" s="334"/>
      <c r="B924" s="610"/>
      <c r="C924" s="365"/>
      <c r="D924" s="364"/>
      <c r="E924" s="363"/>
      <c r="F924" s="363"/>
      <c r="G924" s="364"/>
      <c r="H924" s="363"/>
      <c r="I924" s="363"/>
      <c r="J924" s="364"/>
      <c r="K924" s="363"/>
      <c r="L924" s="363"/>
      <c r="M924" s="737"/>
      <c r="N924" s="332"/>
      <c r="O924" s="332"/>
      <c r="P924" s="332"/>
      <c r="Q924" s="332"/>
      <c r="R924" s="332"/>
      <c r="S924" s="332"/>
      <c r="T924" s="332"/>
    </row>
    <row r="925" spans="1:20" x14ac:dyDescent="0.6">
      <c r="A925" s="334"/>
      <c r="B925" s="610"/>
      <c r="C925" s="365"/>
      <c r="D925" s="364"/>
      <c r="E925" s="363"/>
      <c r="F925" s="363"/>
      <c r="G925" s="364"/>
      <c r="H925" s="363"/>
      <c r="I925" s="363"/>
      <c r="J925" s="364"/>
      <c r="K925" s="363"/>
      <c r="L925" s="363"/>
      <c r="M925" s="737"/>
      <c r="N925" s="332"/>
      <c r="O925" s="332"/>
      <c r="P925" s="332"/>
      <c r="Q925" s="332"/>
      <c r="R925" s="332"/>
      <c r="S925" s="332"/>
      <c r="T925" s="332"/>
    </row>
    <row r="926" spans="1:20" x14ac:dyDescent="0.6">
      <c r="A926" s="334"/>
      <c r="B926" s="610"/>
      <c r="C926" s="365"/>
      <c r="D926" s="364"/>
      <c r="E926" s="363"/>
      <c r="F926" s="363"/>
      <c r="G926" s="364"/>
      <c r="H926" s="363"/>
      <c r="I926" s="363"/>
      <c r="J926" s="364"/>
      <c r="K926" s="363"/>
      <c r="L926" s="363"/>
      <c r="M926" s="737"/>
      <c r="N926" s="332"/>
      <c r="O926" s="332"/>
      <c r="P926" s="332"/>
      <c r="Q926" s="332"/>
      <c r="R926" s="332"/>
      <c r="S926" s="332"/>
      <c r="T926" s="332"/>
    </row>
    <row r="927" spans="1:20" x14ac:dyDescent="0.6">
      <c r="A927" s="334"/>
      <c r="B927" s="610"/>
      <c r="C927" s="365"/>
      <c r="D927" s="364"/>
      <c r="E927" s="363"/>
      <c r="F927" s="363"/>
      <c r="G927" s="364"/>
      <c r="H927" s="363"/>
      <c r="I927" s="363"/>
      <c r="J927" s="364"/>
      <c r="K927" s="363"/>
      <c r="L927" s="363"/>
      <c r="M927" s="737"/>
      <c r="N927" s="332"/>
      <c r="O927" s="332"/>
      <c r="P927" s="332"/>
      <c r="Q927" s="332"/>
      <c r="R927" s="332"/>
      <c r="S927" s="332"/>
      <c r="T927" s="332"/>
    </row>
    <row r="928" spans="1:20" x14ac:dyDescent="0.6">
      <c r="A928" s="334"/>
      <c r="B928" s="610"/>
      <c r="C928" s="365"/>
      <c r="D928" s="364"/>
      <c r="E928" s="363"/>
      <c r="F928" s="363"/>
      <c r="G928" s="364"/>
      <c r="H928" s="363"/>
      <c r="I928" s="363"/>
      <c r="J928" s="364"/>
      <c r="K928" s="363"/>
      <c r="L928" s="363"/>
      <c r="M928" s="737"/>
      <c r="N928" s="332"/>
      <c r="O928" s="332"/>
      <c r="P928" s="332"/>
      <c r="Q928" s="332"/>
      <c r="R928" s="332"/>
      <c r="S928" s="332"/>
      <c r="T928" s="332"/>
    </row>
    <row r="929" spans="1:20" x14ac:dyDescent="0.6">
      <c r="A929" s="334"/>
      <c r="B929" s="610"/>
      <c r="C929" s="365"/>
      <c r="D929" s="364"/>
      <c r="E929" s="363"/>
      <c r="F929" s="363"/>
      <c r="G929" s="364"/>
      <c r="H929" s="363"/>
      <c r="I929" s="363"/>
      <c r="J929" s="364"/>
      <c r="K929" s="363"/>
      <c r="L929" s="363"/>
      <c r="M929" s="737"/>
      <c r="N929" s="332"/>
      <c r="O929" s="332"/>
      <c r="P929" s="332"/>
      <c r="Q929" s="332"/>
      <c r="R929" s="332"/>
      <c r="S929" s="332"/>
      <c r="T929" s="332"/>
    </row>
    <row r="930" spans="1:20" x14ac:dyDescent="0.6">
      <c r="A930" s="334"/>
      <c r="B930" s="610"/>
      <c r="C930" s="365"/>
      <c r="D930" s="364"/>
      <c r="E930" s="363"/>
      <c r="F930" s="363"/>
      <c r="G930" s="364"/>
      <c r="H930" s="363"/>
      <c r="I930" s="363"/>
      <c r="J930" s="364"/>
      <c r="K930" s="363"/>
      <c r="L930" s="363"/>
      <c r="M930" s="737"/>
      <c r="N930" s="332"/>
      <c r="O930" s="332"/>
      <c r="P930" s="332"/>
      <c r="Q930" s="332"/>
      <c r="R930" s="332"/>
      <c r="S930" s="332"/>
      <c r="T930" s="332"/>
    </row>
    <row r="931" spans="1:20" x14ac:dyDescent="0.6">
      <c r="A931" s="334"/>
      <c r="B931" s="610"/>
      <c r="C931" s="365"/>
      <c r="D931" s="364"/>
      <c r="E931" s="363"/>
      <c r="F931" s="363"/>
      <c r="G931" s="364"/>
      <c r="H931" s="363"/>
      <c r="I931" s="363"/>
      <c r="J931" s="364"/>
      <c r="K931" s="363"/>
      <c r="L931" s="363"/>
      <c r="M931" s="737"/>
      <c r="N931" s="332"/>
      <c r="O931" s="332"/>
      <c r="P931" s="332"/>
      <c r="Q931" s="332"/>
      <c r="R931" s="332"/>
      <c r="S931" s="332"/>
      <c r="T931" s="332"/>
    </row>
    <row r="932" spans="1:20" x14ac:dyDescent="0.6">
      <c r="A932" s="334"/>
      <c r="B932" s="610"/>
      <c r="C932" s="365"/>
      <c r="D932" s="364"/>
      <c r="E932" s="363"/>
      <c r="F932" s="363"/>
      <c r="G932" s="364"/>
      <c r="H932" s="363"/>
      <c r="I932" s="363"/>
      <c r="J932" s="364"/>
      <c r="K932" s="363"/>
      <c r="L932" s="363"/>
      <c r="M932" s="737"/>
      <c r="N932" s="332"/>
      <c r="O932" s="332"/>
      <c r="P932" s="332"/>
      <c r="Q932" s="332"/>
      <c r="R932" s="332"/>
      <c r="S932" s="332"/>
      <c r="T932" s="332"/>
    </row>
    <row r="933" spans="1:20" x14ac:dyDescent="0.6">
      <c r="A933" s="334"/>
      <c r="B933" s="610"/>
      <c r="C933" s="365"/>
      <c r="D933" s="364"/>
      <c r="E933" s="363"/>
      <c r="F933" s="363"/>
      <c r="G933" s="364"/>
      <c r="H933" s="363"/>
      <c r="I933" s="363"/>
      <c r="J933" s="364"/>
      <c r="K933" s="363"/>
      <c r="L933" s="363"/>
      <c r="M933" s="737"/>
      <c r="N933" s="332"/>
      <c r="O933" s="332"/>
      <c r="P933" s="332"/>
      <c r="Q933" s="332"/>
      <c r="R933" s="332"/>
      <c r="S933" s="332"/>
      <c r="T933" s="332"/>
    </row>
    <row r="934" spans="1:20" x14ac:dyDescent="0.6">
      <c r="A934" s="334"/>
      <c r="B934" s="610"/>
      <c r="C934" s="365"/>
      <c r="D934" s="364"/>
      <c r="E934" s="363"/>
      <c r="F934" s="363"/>
      <c r="G934" s="364"/>
      <c r="H934" s="363"/>
      <c r="I934" s="363"/>
      <c r="J934" s="364"/>
      <c r="K934" s="363"/>
      <c r="L934" s="363"/>
      <c r="M934" s="737"/>
      <c r="N934" s="332"/>
      <c r="O934" s="332"/>
      <c r="P934" s="332"/>
      <c r="Q934" s="332"/>
      <c r="R934" s="332"/>
      <c r="S934" s="332"/>
      <c r="T934" s="332"/>
    </row>
    <row r="935" spans="1:20" x14ac:dyDescent="0.6">
      <c r="A935" s="334"/>
      <c r="B935" s="610"/>
      <c r="C935" s="365"/>
      <c r="D935" s="364"/>
      <c r="E935" s="363"/>
      <c r="F935" s="363"/>
      <c r="G935" s="364"/>
      <c r="H935" s="363"/>
      <c r="I935" s="363"/>
      <c r="J935" s="364"/>
      <c r="K935" s="363"/>
      <c r="L935" s="363"/>
      <c r="M935" s="737"/>
      <c r="N935" s="332"/>
      <c r="O935" s="332"/>
      <c r="P935" s="332"/>
      <c r="Q935" s="332"/>
      <c r="R935" s="332"/>
      <c r="S935" s="332"/>
      <c r="T935" s="332"/>
    </row>
    <row r="936" spans="1:20" x14ac:dyDescent="0.6">
      <c r="A936" s="334"/>
      <c r="B936" s="610"/>
      <c r="C936" s="365"/>
      <c r="D936" s="364"/>
      <c r="E936" s="363"/>
      <c r="F936" s="363"/>
      <c r="G936" s="364"/>
      <c r="H936" s="363"/>
      <c r="I936" s="363"/>
      <c r="J936" s="364"/>
      <c r="K936" s="363"/>
      <c r="L936" s="363"/>
      <c r="M936" s="737"/>
      <c r="N936" s="332"/>
      <c r="O936" s="332"/>
      <c r="P936" s="332"/>
      <c r="Q936" s="332"/>
      <c r="R936" s="332"/>
      <c r="S936" s="332"/>
      <c r="T936" s="332"/>
    </row>
    <row r="937" spans="1:20" x14ac:dyDescent="0.6">
      <c r="A937" s="334"/>
      <c r="B937" s="610"/>
      <c r="C937" s="365"/>
      <c r="D937" s="364"/>
      <c r="E937" s="363"/>
      <c r="F937" s="363"/>
      <c r="G937" s="364"/>
      <c r="H937" s="363"/>
      <c r="I937" s="363"/>
      <c r="J937" s="364"/>
      <c r="K937" s="363"/>
      <c r="L937" s="363"/>
      <c r="M937" s="737"/>
      <c r="N937" s="332"/>
      <c r="O937" s="332"/>
      <c r="P937" s="332"/>
      <c r="Q937" s="332"/>
      <c r="R937" s="332"/>
      <c r="S937" s="332"/>
      <c r="T937" s="332"/>
    </row>
    <row r="938" spans="1:20" x14ac:dyDescent="0.6">
      <c r="A938" s="334"/>
      <c r="B938" s="610"/>
      <c r="C938" s="365"/>
      <c r="D938" s="364"/>
      <c r="E938" s="363"/>
      <c r="F938" s="363"/>
      <c r="G938" s="364"/>
      <c r="H938" s="363"/>
      <c r="I938" s="363"/>
      <c r="J938" s="364"/>
      <c r="K938" s="363"/>
      <c r="L938" s="363"/>
      <c r="M938" s="737"/>
      <c r="N938" s="332"/>
      <c r="O938" s="332"/>
      <c r="P938" s="332"/>
      <c r="Q938" s="332"/>
      <c r="R938" s="332"/>
      <c r="S938" s="332"/>
      <c r="T938" s="332"/>
    </row>
    <row r="939" spans="1:20" x14ac:dyDescent="0.6">
      <c r="A939" s="334"/>
      <c r="B939" s="610"/>
      <c r="C939" s="365"/>
      <c r="D939" s="364"/>
      <c r="E939" s="363"/>
      <c r="F939" s="363"/>
      <c r="G939" s="364"/>
      <c r="H939" s="363"/>
      <c r="I939" s="363"/>
      <c r="J939" s="364"/>
      <c r="K939" s="363"/>
      <c r="L939" s="363"/>
      <c r="M939" s="737"/>
      <c r="N939" s="332"/>
      <c r="O939" s="332"/>
      <c r="P939" s="332"/>
      <c r="Q939" s="332"/>
      <c r="R939" s="332"/>
      <c r="S939" s="332"/>
      <c r="T939" s="332"/>
    </row>
    <row r="940" spans="1:20" x14ac:dyDescent="0.6">
      <c r="A940" s="334"/>
      <c r="B940" s="610"/>
      <c r="C940" s="365"/>
      <c r="D940" s="364"/>
      <c r="E940" s="363"/>
      <c r="F940" s="363"/>
      <c r="G940" s="364"/>
      <c r="H940" s="363"/>
      <c r="I940" s="363"/>
      <c r="J940" s="364"/>
      <c r="K940" s="363"/>
      <c r="L940" s="363"/>
      <c r="M940" s="737"/>
      <c r="N940" s="332"/>
      <c r="O940" s="332"/>
      <c r="P940" s="332"/>
      <c r="Q940" s="332"/>
      <c r="R940" s="332"/>
      <c r="S940" s="332"/>
      <c r="T940" s="332"/>
    </row>
    <row r="941" spans="1:20" x14ac:dyDescent="0.6">
      <c r="A941" s="334"/>
      <c r="B941" s="610"/>
      <c r="C941" s="365"/>
      <c r="D941" s="364"/>
      <c r="E941" s="363"/>
      <c r="F941" s="363"/>
      <c r="G941" s="364"/>
      <c r="H941" s="363"/>
      <c r="I941" s="363"/>
      <c r="J941" s="364"/>
      <c r="K941" s="363"/>
      <c r="L941" s="363"/>
      <c r="M941" s="737"/>
      <c r="N941" s="332"/>
      <c r="O941" s="332"/>
      <c r="P941" s="332"/>
      <c r="Q941" s="332"/>
      <c r="R941" s="332"/>
      <c r="S941" s="332"/>
      <c r="T941" s="332"/>
    </row>
    <row r="942" spans="1:20" x14ac:dyDescent="0.6">
      <c r="A942" s="334"/>
      <c r="B942" s="610"/>
      <c r="C942" s="365"/>
      <c r="D942" s="364"/>
      <c r="E942" s="363"/>
      <c r="F942" s="363"/>
      <c r="G942" s="364"/>
      <c r="H942" s="363"/>
      <c r="I942" s="363"/>
      <c r="J942" s="364"/>
      <c r="K942" s="363"/>
      <c r="L942" s="363"/>
      <c r="M942" s="737"/>
      <c r="N942" s="332"/>
      <c r="O942" s="332"/>
      <c r="P942" s="332"/>
      <c r="Q942" s="332"/>
      <c r="R942" s="332"/>
      <c r="S942" s="332"/>
      <c r="T942" s="332"/>
    </row>
    <row r="943" spans="1:20" x14ac:dyDescent="0.6">
      <c r="A943" s="334"/>
      <c r="B943" s="610"/>
      <c r="C943" s="365"/>
      <c r="D943" s="364"/>
      <c r="E943" s="363"/>
      <c r="F943" s="363"/>
      <c r="G943" s="364"/>
      <c r="H943" s="363"/>
      <c r="I943" s="363"/>
      <c r="J943" s="364"/>
      <c r="K943" s="363"/>
      <c r="L943" s="363"/>
      <c r="M943" s="737"/>
      <c r="N943" s="332"/>
      <c r="O943" s="332"/>
      <c r="P943" s="332"/>
      <c r="Q943" s="332"/>
      <c r="R943" s="332"/>
      <c r="S943" s="332"/>
      <c r="T943" s="332"/>
    </row>
    <row r="944" spans="1:20" x14ac:dyDescent="0.6">
      <c r="A944" s="334"/>
      <c r="B944" s="610"/>
      <c r="C944" s="365"/>
      <c r="D944" s="364"/>
      <c r="E944" s="363"/>
      <c r="F944" s="363"/>
      <c r="G944" s="364"/>
      <c r="H944" s="363"/>
      <c r="I944" s="363"/>
      <c r="J944" s="364"/>
      <c r="K944" s="363"/>
      <c r="L944" s="363"/>
      <c r="M944" s="737"/>
      <c r="N944" s="332"/>
      <c r="O944" s="332"/>
      <c r="P944" s="332"/>
      <c r="Q944" s="332"/>
      <c r="R944" s="332"/>
      <c r="S944" s="332"/>
      <c r="T944" s="332"/>
    </row>
    <row r="945" spans="1:20" x14ac:dyDescent="0.6">
      <c r="A945" s="334"/>
      <c r="B945" s="610"/>
      <c r="C945" s="365"/>
      <c r="D945" s="364"/>
      <c r="E945" s="363"/>
      <c r="F945" s="363"/>
      <c r="G945" s="364"/>
      <c r="H945" s="363"/>
      <c r="I945" s="363"/>
      <c r="J945" s="364"/>
      <c r="K945" s="363"/>
      <c r="L945" s="363"/>
      <c r="M945" s="737"/>
      <c r="N945" s="332"/>
      <c r="O945" s="332"/>
      <c r="P945" s="332"/>
      <c r="Q945" s="332"/>
      <c r="R945" s="332"/>
      <c r="S945" s="332"/>
      <c r="T945" s="332"/>
    </row>
    <row r="946" spans="1:20" x14ac:dyDescent="0.6">
      <c r="A946" s="334"/>
      <c r="B946" s="610"/>
      <c r="C946" s="365"/>
      <c r="D946" s="364"/>
      <c r="E946" s="363"/>
      <c r="F946" s="363"/>
      <c r="G946" s="364"/>
      <c r="H946" s="363"/>
      <c r="I946" s="363"/>
      <c r="J946" s="364"/>
      <c r="K946" s="363"/>
      <c r="L946" s="363"/>
      <c r="M946" s="737"/>
      <c r="N946" s="332"/>
      <c r="O946" s="332"/>
      <c r="P946" s="332"/>
      <c r="Q946" s="332"/>
      <c r="R946" s="332"/>
      <c r="S946" s="332"/>
      <c r="T946" s="332"/>
    </row>
    <row r="947" spans="1:20" x14ac:dyDescent="0.6">
      <c r="A947" s="334"/>
      <c r="B947" s="610"/>
      <c r="C947" s="365"/>
      <c r="D947" s="364"/>
      <c r="E947" s="363"/>
      <c r="F947" s="363"/>
      <c r="G947" s="364"/>
      <c r="H947" s="363"/>
      <c r="I947" s="363"/>
      <c r="J947" s="364"/>
      <c r="K947" s="363"/>
      <c r="L947" s="363"/>
      <c r="M947" s="737"/>
      <c r="N947" s="332"/>
      <c r="O947" s="332"/>
      <c r="P947" s="332"/>
      <c r="Q947" s="332"/>
      <c r="R947" s="332"/>
      <c r="S947" s="332"/>
      <c r="T947" s="332"/>
    </row>
    <row r="948" spans="1:20" x14ac:dyDescent="0.6">
      <c r="A948" s="334"/>
      <c r="B948" s="610"/>
      <c r="C948" s="365"/>
      <c r="D948" s="364"/>
      <c r="E948" s="363"/>
      <c r="F948" s="363"/>
      <c r="G948" s="364"/>
      <c r="H948" s="363"/>
      <c r="I948" s="363"/>
      <c r="J948" s="364"/>
      <c r="K948" s="363"/>
      <c r="L948" s="363"/>
      <c r="M948" s="737"/>
      <c r="N948" s="332"/>
      <c r="O948" s="332"/>
      <c r="P948" s="332"/>
      <c r="Q948" s="332"/>
      <c r="R948" s="332"/>
      <c r="S948" s="332"/>
      <c r="T948" s="332"/>
    </row>
    <row r="949" spans="1:20" x14ac:dyDescent="0.6">
      <c r="A949" s="334"/>
      <c r="B949" s="610"/>
      <c r="C949" s="365"/>
      <c r="D949" s="364"/>
      <c r="E949" s="363"/>
      <c r="F949" s="363"/>
      <c r="G949" s="364"/>
      <c r="H949" s="363"/>
      <c r="I949" s="363"/>
      <c r="J949" s="364"/>
      <c r="K949" s="363"/>
      <c r="L949" s="363"/>
      <c r="M949" s="737"/>
      <c r="N949" s="332"/>
      <c r="O949" s="332"/>
      <c r="P949" s="332"/>
      <c r="Q949" s="332"/>
      <c r="R949" s="332"/>
      <c r="S949" s="332"/>
      <c r="T949" s="332"/>
    </row>
    <row r="950" spans="1:20" x14ac:dyDescent="0.6">
      <c r="A950" s="334"/>
      <c r="B950" s="610"/>
      <c r="C950" s="365"/>
      <c r="D950" s="364"/>
      <c r="E950" s="363"/>
      <c r="F950" s="363"/>
      <c r="G950" s="364"/>
      <c r="H950" s="363"/>
      <c r="I950" s="363"/>
      <c r="J950" s="364"/>
      <c r="K950" s="363"/>
      <c r="L950" s="363"/>
      <c r="M950" s="737"/>
      <c r="N950" s="332"/>
      <c r="O950" s="332"/>
      <c r="P950" s="332"/>
      <c r="Q950" s="332"/>
      <c r="R950" s="332"/>
      <c r="S950" s="332"/>
      <c r="T950" s="332"/>
    </row>
    <row r="951" spans="1:20" x14ac:dyDescent="0.6">
      <c r="A951" s="334"/>
      <c r="B951" s="610"/>
      <c r="C951" s="365"/>
      <c r="D951" s="364"/>
      <c r="E951" s="363"/>
      <c r="F951" s="363"/>
      <c r="G951" s="364"/>
      <c r="H951" s="363"/>
      <c r="I951" s="363"/>
      <c r="J951" s="364"/>
      <c r="K951" s="363"/>
      <c r="L951" s="363"/>
      <c r="M951" s="737"/>
      <c r="N951" s="332"/>
      <c r="O951" s="332"/>
      <c r="P951" s="332"/>
      <c r="Q951" s="332"/>
      <c r="R951" s="332"/>
      <c r="S951" s="332"/>
      <c r="T951" s="332"/>
    </row>
    <row r="952" spans="1:20" x14ac:dyDescent="0.6">
      <c r="A952" s="334"/>
      <c r="B952" s="610"/>
      <c r="C952" s="365"/>
      <c r="D952" s="364"/>
      <c r="E952" s="363"/>
      <c r="F952" s="363"/>
      <c r="G952" s="364"/>
      <c r="H952" s="363"/>
      <c r="I952" s="363"/>
      <c r="J952" s="364"/>
      <c r="K952" s="363"/>
      <c r="L952" s="363"/>
      <c r="M952" s="737"/>
      <c r="N952" s="332"/>
      <c r="O952" s="332"/>
      <c r="P952" s="332"/>
      <c r="Q952" s="332"/>
      <c r="R952" s="332"/>
      <c r="S952" s="332"/>
      <c r="T952" s="332"/>
    </row>
    <row r="953" spans="1:20" x14ac:dyDescent="0.6">
      <c r="A953" s="334"/>
      <c r="B953" s="610"/>
      <c r="C953" s="365"/>
      <c r="D953" s="364"/>
      <c r="E953" s="363"/>
      <c r="F953" s="363"/>
      <c r="G953" s="364"/>
      <c r="H953" s="363"/>
      <c r="I953" s="363"/>
      <c r="J953" s="364"/>
      <c r="K953" s="363"/>
      <c r="L953" s="363"/>
      <c r="M953" s="737"/>
      <c r="N953" s="332"/>
      <c r="O953" s="332"/>
      <c r="P953" s="332"/>
      <c r="Q953" s="332"/>
      <c r="R953" s="332"/>
      <c r="S953" s="332"/>
      <c r="T953" s="332"/>
    </row>
    <row r="954" spans="1:20" x14ac:dyDescent="0.6">
      <c r="A954" s="334"/>
      <c r="B954" s="610"/>
      <c r="C954" s="365"/>
      <c r="D954" s="364"/>
      <c r="E954" s="363"/>
      <c r="F954" s="363"/>
      <c r="G954" s="364"/>
      <c r="H954" s="363"/>
      <c r="I954" s="363"/>
      <c r="J954" s="364"/>
      <c r="K954" s="363"/>
      <c r="L954" s="363"/>
      <c r="M954" s="737"/>
      <c r="N954" s="332"/>
      <c r="O954" s="332"/>
      <c r="P954" s="332"/>
      <c r="Q954" s="332"/>
      <c r="R954" s="332"/>
      <c r="S954" s="332"/>
      <c r="T954" s="332"/>
    </row>
    <row r="955" spans="1:20" x14ac:dyDescent="0.6">
      <c r="A955" s="334"/>
      <c r="B955" s="610"/>
      <c r="C955" s="365"/>
      <c r="D955" s="364"/>
      <c r="E955" s="363"/>
      <c r="F955" s="363"/>
      <c r="G955" s="364"/>
      <c r="H955" s="363"/>
      <c r="I955" s="363"/>
      <c r="J955" s="364"/>
      <c r="K955" s="363"/>
      <c r="L955" s="363"/>
      <c r="M955" s="737"/>
      <c r="N955" s="332"/>
      <c r="O955" s="332"/>
      <c r="P955" s="332"/>
      <c r="Q955" s="332"/>
      <c r="R955" s="332"/>
      <c r="S955" s="332"/>
      <c r="T955" s="332"/>
    </row>
    <row r="956" spans="1:20" x14ac:dyDescent="0.6">
      <c r="A956" s="334"/>
      <c r="B956" s="610"/>
      <c r="C956" s="365"/>
      <c r="D956" s="364"/>
      <c r="E956" s="363"/>
      <c r="F956" s="363"/>
      <c r="G956" s="364"/>
      <c r="H956" s="363"/>
      <c r="I956" s="363"/>
      <c r="J956" s="364"/>
      <c r="K956" s="363"/>
      <c r="L956" s="363"/>
      <c r="M956" s="737"/>
      <c r="N956" s="332"/>
      <c r="O956" s="332"/>
      <c r="P956" s="332"/>
      <c r="Q956" s="332"/>
      <c r="R956" s="332"/>
      <c r="S956" s="332"/>
      <c r="T956" s="332"/>
    </row>
    <row r="957" spans="1:20" x14ac:dyDescent="0.6">
      <c r="A957" s="334"/>
      <c r="B957" s="610"/>
      <c r="C957" s="365"/>
      <c r="D957" s="364"/>
      <c r="E957" s="363"/>
      <c r="F957" s="363"/>
      <c r="G957" s="364"/>
      <c r="H957" s="363"/>
      <c r="I957" s="363"/>
      <c r="J957" s="364"/>
      <c r="K957" s="363"/>
      <c r="L957" s="363"/>
      <c r="M957" s="737"/>
      <c r="N957" s="332"/>
      <c r="O957" s="332"/>
      <c r="P957" s="332"/>
      <c r="Q957" s="332"/>
      <c r="R957" s="332"/>
      <c r="S957" s="332"/>
      <c r="T957" s="332"/>
    </row>
    <row r="958" spans="1:20" x14ac:dyDescent="0.6">
      <c r="A958" s="334"/>
      <c r="B958" s="610"/>
      <c r="C958" s="365"/>
      <c r="D958" s="364"/>
      <c r="E958" s="363"/>
      <c r="F958" s="363"/>
      <c r="G958" s="364"/>
      <c r="H958" s="363"/>
      <c r="I958" s="363"/>
      <c r="J958" s="364"/>
      <c r="K958" s="363"/>
      <c r="L958" s="363"/>
      <c r="M958" s="737"/>
      <c r="N958" s="332"/>
      <c r="O958" s="332"/>
      <c r="P958" s="332"/>
      <c r="Q958" s="332"/>
      <c r="R958" s="332"/>
      <c r="S958" s="332"/>
      <c r="T958" s="332"/>
    </row>
    <row r="959" spans="1:20" x14ac:dyDescent="0.6">
      <c r="A959" s="334"/>
      <c r="B959" s="610"/>
      <c r="C959" s="365"/>
      <c r="D959" s="364"/>
      <c r="E959" s="363"/>
      <c r="F959" s="363"/>
      <c r="G959" s="364"/>
      <c r="H959" s="363"/>
      <c r="I959" s="363"/>
      <c r="J959" s="364"/>
      <c r="K959" s="363"/>
      <c r="L959" s="363"/>
      <c r="M959" s="737"/>
      <c r="N959" s="332"/>
      <c r="O959" s="332"/>
      <c r="P959" s="332"/>
      <c r="Q959" s="332"/>
      <c r="R959" s="332"/>
      <c r="S959" s="332"/>
      <c r="T959" s="332"/>
    </row>
    <row r="960" spans="1:20" x14ac:dyDescent="0.6">
      <c r="A960" s="334"/>
      <c r="B960" s="610"/>
      <c r="C960" s="365"/>
      <c r="D960" s="364"/>
      <c r="E960" s="363"/>
      <c r="F960" s="363"/>
      <c r="G960" s="364"/>
      <c r="H960" s="363"/>
      <c r="I960" s="363"/>
      <c r="J960" s="364"/>
      <c r="K960" s="363"/>
      <c r="L960" s="363"/>
      <c r="M960" s="737"/>
      <c r="N960" s="332"/>
      <c r="O960" s="332"/>
      <c r="P960" s="332"/>
      <c r="Q960" s="332"/>
      <c r="R960" s="332"/>
      <c r="S960" s="332"/>
      <c r="T960" s="332"/>
    </row>
    <row r="961" spans="1:20" x14ac:dyDescent="0.6">
      <c r="A961" s="334"/>
      <c r="B961" s="610"/>
      <c r="C961" s="365"/>
      <c r="D961" s="364"/>
      <c r="E961" s="363"/>
      <c r="F961" s="363"/>
      <c r="G961" s="364"/>
      <c r="H961" s="363"/>
      <c r="I961" s="363"/>
      <c r="J961" s="364"/>
      <c r="K961" s="363"/>
      <c r="L961" s="363"/>
      <c r="M961" s="737"/>
      <c r="N961" s="332"/>
      <c r="O961" s="332"/>
      <c r="P961" s="332"/>
      <c r="Q961" s="332"/>
      <c r="R961" s="332"/>
      <c r="S961" s="332"/>
      <c r="T961" s="332"/>
    </row>
    <row r="962" spans="1:20" x14ac:dyDescent="0.6">
      <c r="A962" s="334"/>
      <c r="B962" s="610"/>
      <c r="C962" s="365"/>
      <c r="D962" s="364"/>
      <c r="E962" s="363"/>
      <c r="F962" s="363"/>
      <c r="G962" s="364"/>
      <c r="H962" s="363"/>
      <c r="I962" s="363"/>
      <c r="J962" s="364"/>
      <c r="K962" s="363"/>
      <c r="L962" s="363"/>
      <c r="M962" s="737"/>
      <c r="N962" s="332"/>
      <c r="O962" s="332"/>
      <c r="P962" s="332"/>
      <c r="Q962" s="332"/>
      <c r="R962" s="332"/>
      <c r="S962" s="332"/>
      <c r="T962" s="332"/>
    </row>
    <row r="963" spans="1:20" x14ac:dyDescent="0.6">
      <c r="A963" s="334"/>
      <c r="B963" s="610"/>
      <c r="C963" s="365"/>
      <c r="D963" s="364"/>
      <c r="E963" s="363"/>
      <c r="F963" s="363"/>
      <c r="G963" s="364"/>
      <c r="H963" s="363"/>
      <c r="I963" s="363"/>
      <c r="J963" s="364"/>
      <c r="K963" s="363"/>
      <c r="L963" s="363"/>
      <c r="M963" s="737"/>
      <c r="N963" s="332"/>
      <c r="O963" s="332"/>
      <c r="P963" s="332"/>
      <c r="Q963" s="332"/>
      <c r="R963" s="332"/>
      <c r="S963" s="332"/>
      <c r="T963" s="332"/>
    </row>
    <row r="964" spans="1:20" x14ac:dyDescent="0.6">
      <c r="A964" s="334"/>
      <c r="B964" s="610"/>
      <c r="C964" s="365"/>
      <c r="D964" s="364"/>
      <c r="E964" s="363"/>
      <c r="F964" s="363"/>
      <c r="G964" s="364"/>
      <c r="H964" s="363"/>
      <c r="I964" s="363"/>
      <c r="J964" s="364"/>
      <c r="K964" s="363"/>
      <c r="L964" s="363"/>
      <c r="M964" s="737"/>
      <c r="N964" s="332"/>
      <c r="O964" s="332"/>
      <c r="P964" s="332"/>
      <c r="Q964" s="332"/>
      <c r="R964" s="332"/>
      <c r="S964" s="332"/>
      <c r="T964" s="332"/>
    </row>
    <row r="965" spans="1:20" x14ac:dyDescent="0.6">
      <c r="A965" s="334"/>
      <c r="B965" s="610"/>
      <c r="C965" s="365"/>
      <c r="D965" s="364"/>
      <c r="E965" s="363"/>
      <c r="F965" s="363"/>
      <c r="G965" s="364"/>
      <c r="H965" s="363"/>
      <c r="I965" s="363"/>
      <c r="J965" s="364"/>
      <c r="K965" s="363"/>
      <c r="L965" s="363"/>
      <c r="M965" s="737"/>
      <c r="N965" s="332"/>
      <c r="O965" s="332"/>
      <c r="P965" s="332"/>
      <c r="Q965" s="332"/>
      <c r="R965" s="332"/>
      <c r="S965" s="332"/>
      <c r="T965" s="332"/>
    </row>
    <row r="966" spans="1:20" x14ac:dyDescent="0.6">
      <c r="A966" s="334"/>
      <c r="B966" s="610"/>
      <c r="C966" s="365"/>
      <c r="D966" s="364"/>
      <c r="E966" s="363"/>
      <c r="F966" s="363"/>
      <c r="G966" s="364"/>
      <c r="H966" s="363"/>
      <c r="I966" s="363"/>
      <c r="J966" s="364"/>
      <c r="K966" s="363"/>
      <c r="L966" s="363"/>
      <c r="M966" s="737"/>
      <c r="N966" s="332"/>
      <c r="O966" s="332"/>
      <c r="P966" s="332"/>
      <c r="Q966" s="332"/>
      <c r="R966" s="332"/>
      <c r="S966" s="332"/>
      <c r="T966" s="332"/>
    </row>
    <row r="967" spans="1:20" x14ac:dyDescent="0.6">
      <c r="A967" s="334"/>
      <c r="B967" s="610"/>
      <c r="C967" s="365"/>
      <c r="D967" s="364"/>
      <c r="E967" s="363"/>
      <c r="F967" s="363"/>
      <c r="G967" s="364"/>
      <c r="H967" s="363"/>
      <c r="I967" s="363"/>
      <c r="J967" s="364"/>
      <c r="K967" s="363"/>
      <c r="L967" s="363"/>
      <c r="M967" s="737"/>
      <c r="N967" s="332"/>
      <c r="O967" s="332"/>
      <c r="P967" s="332"/>
      <c r="Q967" s="332"/>
      <c r="R967" s="332"/>
      <c r="S967" s="332"/>
      <c r="T967" s="332"/>
    </row>
    <row r="968" spans="1:20" x14ac:dyDescent="0.6">
      <c r="A968" s="334"/>
      <c r="B968" s="610"/>
      <c r="C968" s="365"/>
      <c r="D968" s="364"/>
      <c r="E968" s="363"/>
      <c r="F968" s="363"/>
      <c r="G968" s="364"/>
      <c r="H968" s="363"/>
      <c r="I968" s="363"/>
      <c r="J968" s="364"/>
      <c r="K968" s="363"/>
      <c r="L968" s="363"/>
      <c r="M968" s="737"/>
      <c r="N968" s="332"/>
      <c r="O968" s="332"/>
      <c r="P968" s="332"/>
      <c r="Q968" s="332"/>
      <c r="R968" s="332"/>
      <c r="S968" s="332"/>
      <c r="T968" s="332"/>
    </row>
    <row r="969" spans="1:20" x14ac:dyDescent="0.6">
      <c r="A969" s="334"/>
      <c r="B969" s="610"/>
      <c r="C969" s="365"/>
      <c r="D969" s="364"/>
      <c r="E969" s="363"/>
      <c r="F969" s="363"/>
      <c r="G969" s="364"/>
      <c r="H969" s="363"/>
      <c r="I969" s="363"/>
      <c r="J969" s="364"/>
      <c r="K969" s="363"/>
      <c r="L969" s="363"/>
      <c r="M969" s="737"/>
      <c r="N969" s="332"/>
      <c r="O969" s="332"/>
      <c r="P969" s="332"/>
      <c r="Q969" s="332"/>
      <c r="R969" s="332"/>
      <c r="S969" s="332"/>
      <c r="T969" s="332"/>
    </row>
    <row r="970" spans="1:20" x14ac:dyDescent="0.6">
      <c r="A970" s="334"/>
      <c r="B970" s="610"/>
      <c r="C970" s="365"/>
      <c r="D970" s="364"/>
      <c r="E970" s="363"/>
      <c r="F970" s="363"/>
      <c r="G970" s="364"/>
      <c r="H970" s="363"/>
      <c r="I970" s="363"/>
      <c r="J970" s="364"/>
      <c r="K970" s="363"/>
      <c r="L970" s="363"/>
      <c r="M970" s="737"/>
      <c r="N970" s="332"/>
      <c r="O970" s="332"/>
      <c r="P970" s="332"/>
      <c r="Q970" s="332"/>
      <c r="R970" s="332"/>
      <c r="S970" s="332"/>
      <c r="T970" s="332"/>
    </row>
    <row r="971" spans="1:20" x14ac:dyDescent="0.6">
      <c r="A971" s="334"/>
      <c r="B971" s="610"/>
      <c r="C971" s="365"/>
      <c r="D971" s="364"/>
      <c r="E971" s="363"/>
      <c r="F971" s="363"/>
      <c r="G971" s="364"/>
      <c r="H971" s="363"/>
      <c r="I971" s="363"/>
      <c r="J971" s="364"/>
      <c r="K971" s="363"/>
      <c r="L971" s="363"/>
      <c r="M971" s="737"/>
      <c r="N971" s="332"/>
      <c r="O971" s="332"/>
      <c r="P971" s="332"/>
      <c r="Q971" s="332"/>
      <c r="R971" s="332"/>
      <c r="S971" s="332"/>
      <c r="T971" s="332"/>
    </row>
    <row r="972" spans="1:20" x14ac:dyDescent="0.6">
      <c r="A972" s="334"/>
      <c r="B972" s="610"/>
      <c r="C972" s="365"/>
      <c r="D972" s="364"/>
      <c r="E972" s="363"/>
      <c r="F972" s="363"/>
      <c r="G972" s="364"/>
      <c r="H972" s="363"/>
      <c r="I972" s="363"/>
      <c r="J972" s="364"/>
      <c r="K972" s="363"/>
      <c r="L972" s="363"/>
      <c r="M972" s="737"/>
      <c r="N972" s="332"/>
      <c r="O972" s="332"/>
      <c r="P972" s="332"/>
      <c r="Q972" s="332"/>
      <c r="R972" s="332"/>
      <c r="S972" s="332"/>
      <c r="T972" s="332"/>
    </row>
    <row r="973" spans="1:20" x14ac:dyDescent="0.6">
      <c r="A973" s="334"/>
      <c r="B973" s="610"/>
      <c r="C973" s="365"/>
      <c r="D973" s="364"/>
      <c r="E973" s="363"/>
      <c r="F973" s="363"/>
      <c r="G973" s="364"/>
      <c r="H973" s="363"/>
      <c r="I973" s="363"/>
      <c r="J973" s="364"/>
      <c r="K973" s="363"/>
      <c r="L973" s="363"/>
      <c r="M973" s="737"/>
      <c r="N973" s="332"/>
      <c r="O973" s="332"/>
      <c r="P973" s="332"/>
      <c r="Q973" s="332"/>
      <c r="R973" s="332"/>
      <c r="S973" s="332"/>
      <c r="T973" s="332"/>
    </row>
    <row r="974" spans="1:20" x14ac:dyDescent="0.6">
      <c r="A974" s="334"/>
      <c r="B974" s="610"/>
      <c r="C974" s="365"/>
      <c r="D974" s="364"/>
      <c r="E974" s="363"/>
      <c r="F974" s="363"/>
      <c r="G974" s="364"/>
      <c r="H974" s="363"/>
      <c r="I974" s="363"/>
      <c r="J974" s="364"/>
      <c r="K974" s="363"/>
      <c r="L974" s="363"/>
      <c r="M974" s="737"/>
      <c r="N974" s="332"/>
      <c r="O974" s="332"/>
      <c r="P974" s="332"/>
      <c r="Q974" s="332"/>
      <c r="R974" s="332"/>
      <c r="S974" s="332"/>
      <c r="T974" s="332"/>
    </row>
    <row r="975" spans="1:20" x14ac:dyDescent="0.6">
      <c r="A975" s="334"/>
      <c r="B975" s="610"/>
      <c r="C975" s="365"/>
      <c r="D975" s="364"/>
      <c r="E975" s="363"/>
      <c r="F975" s="363"/>
      <c r="G975" s="364"/>
      <c r="H975" s="363"/>
      <c r="I975" s="363"/>
      <c r="J975" s="364"/>
      <c r="K975" s="363"/>
      <c r="L975" s="363"/>
      <c r="M975" s="737"/>
      <c r="N975" s="332"/>
      <c r="O975" s="332"/>
      <c r="P975" s="332"/>
      <c r="Q975" s="332"/>
      <c r="R975" s="332"/>
      <c r="S975" s="332"/>
      <c r="T975" s="332"/>
    </row>
    <row r="976" spans="1:20" x14ac:dyDescent="0.6">
      <c r="A976" s="334"/>
      <c r="B976" s="610"/>
      <c r="C976" s="365"/>
      <c r="D976" s="364"/>
      <c r="E976" s="363"/>
      <c r="F976" s="363"/>
      <c r="G976" s="364"/>
      <c r="H976" s="363"/>
      <c r="I976" s="363"/>
      <c r="J976" s="364"/>
      <c r="K976" s="363"/>
      <c r="L976" s="363"/>
      <c r="M976" s="737"/>
      <c r="N976" s="332"/>
      <c r="O976" s="332"/>
      <c r="P976" s="332"/>
      <c r="Q976" s="332"/>
      <c r="R976" s="332"/>
      <c r="S976" s="332"/>
      <c r="T976" s="332"/>
    </row>
    <row r="977" spans="1:20" x14ac:dyDescent="0.6">
      <c r="A977" s="334"/>
      <c r="B977" s="610"/>
      <c r="C977" s="365"/>
      <c r="D977" s="364"/>
      <c r="E977" s="363"/>
      <c r="F977" s="363"/>
      <c r="G977" s="364"/>
      <c r="H977" s="363"/>
      <c r="I977" s="363"/>
      <c r="J977" s="364"/>
      <c r="K977" s="363"/>
      <c r="L977" s="363"/>
      <c r="M977" s="737"/>
      <c r="N977" s="332"/>
      <c r="O977" s="332"/>
      <c r="P977" s="332"/>
      <c r="Q977" s="332"/>
      <c r="R977" s="332"/>
      <c r="S977" s="332"/>
      <c r="T977" s="332"/>
    </row>
    <row r="978" spans="1:20" x14ac:dyDescent="0.6">
      <c r="A978" s="334"/>
      <c r="B978" s="610"/>
      <c r="C978" s="365"/>
      <c r="D978" s="364"/>
      <c r="E978" s="363"/>
      <c r="F978" s="363"/>
      <c r="G978" s="364"/>
      <c r="H978" s="363"/>
      <c r="I978" s="363"/>
      <c r="J978" s="364"/>
      <c r="K978" s="363"/>
      <c r="L978" s="363"/>
      <c r="M978" s="737"/>
      <c r="N978" s="332"/>
      <c r="O978" s="332"/>
      <c r="P978" s="332"/>
      <c r="Q978" s="332"/>
      <c r="R978" s="332"/>
      <c r="S978" s="332"/>
      <c r="T978" s="332"/>
    </row>
    <row r="979" spans="1:20" x14ac:dyDescent="0.6">
      <c r="A979" s="334"/>
      <c r="B979" s="610"/>
      <c r="C979" s="365"/>
      <c r="D979" s="364"/>
      <c r="E979" s="363"/>
      <c r="F979" s="363"/>
      <c r="G979" s="364"/>
      <c r="H979" s="363"/>
      <c r="I979" s="363"/>
      <c r="J979" s="364"/>
      <c r="K979" s="363"/>
      <c r="L979" s="363"/>
      <c r="M979" s="737"/>
      <c r="N979" s="332"/>
      <c r="O979" s="332"/>
      <c r="P979" s="332"/>
      <c r="Q979" s="332"/>
      <c r="R979" s="332"/>
      <c r="S979" s="332"/>
      <c r="T979" s="332"/>
    </row>
    <row r="980" spans="1:20" x14ac:dyDescent="0.6">
      <c r="A980" s="334"/>
      <c r="B980" s="610"/>
      <c r="C980" s="365"/>
      <c r="D980" s="364"/>
      <c r="E980" s="363"/>
      <c r="F980" s="363"/>
      <c r="G980" s="364"/>
      <c r="H980" s="363"/>
      <c r="I980" s="363"/>
      <c r="J980" s="364"/>
      <c r="K980" s="363"/>
      <c r="L980" s="363"/>
      <c r="M980" s="737"/>
      <c r="N980" s="332"/>
      <c r="O980" s="332"/>
      <c r="P980" s="332"/>
      <c r="Q980" s="332"/>
      <c r="R980" s="332"/>
      <c r="S980" s="332"/>
      <c r="T980" s="332"/>
    </row>
    <row r="981" spans="1:20" x14ac:dyDescent="0.6">
      <c r="A981" s="334"/>
      <c r="B981" s="610"/>
      <c r="C981" s="365"/>
      <c r="D981" s="364"/>
      <c r="E981" s="363"/>
      <c r="F981" s="363"/>
      <c r="G981" s="364"/>
      <c r="H981" s="363"/>
      <c r="I981" s="363"/>
      <c r="J981" s="364"/>
      <c r="K981" s="363"/>
      <c r="L981" s="363"/>
      <c r="M981" s="737"/>
      <c r="N981" s="332"/>
      <c r="O981" s="332"/>
      <c r="P981" s="332"/>
      <c r="Q981" s="332"/>
      <c r="R981" s="332"/>
      <c r="S981" s="332"/>
      <c r="T981" s="332"/>
    </row>
    <row r="982" spans="1:20" x14ac:dyDescent="0.6">
      <c r="A982" s="334"/>
      <c r="B982" s="610"/>
      <c r="C982" s="365"/>
      <c r="D982" s="364"/>
      <c r="E982" s="363"/>
      <c r="F982" s="363"/>
      <c r="G982" s="364"/>
      <c r="H982" s="363"/>
      <c r="I982" s="363"/>
      <c r="J982" s="364"/>
      <c r="K982" s="363"/>
      <c r="L982" s="363"/>
      <c r="M982" s="737"/>
      <c r="N982" s="332"/>
      <c r="O982" s="332"/>
      <c r="P982" s="332"/>
      <c r="Q982" s="332"/>
      <c r="R982" s="332"/>
      <c r="S982" s="332"/>
      <c r="T982" s="332"/>
    </row>
    <row r="983" spans="1:20" x14ac:dyDescent="0.6">
      <c r="A983" s="334"/>
      <c r="B983" s="610"/>
      <c r="C983" s="365"/>
      <c r="D983" s="364"/>
      <c r="E983" s="363"/>
      <c r="F983" s="363"/>
      <c r="G983" s="364"/>
      <c r="H983" s="363"/>
      <c r="I983" s="363"/>
      <c r="J983" s="364"/>
      <c r="K983" s="363"/>
      <c r="L983" s="363"/>
      <c r="M983" s="737"/>
      <c r="N983" s="332"/>
      <c r="O983" s="332"/>
      <c r="P983" s="332"/>
      <c r="Q983" s="332"/>
      <c r="R983" s="332"/>
      <c r="S983" s="332"/>
      <c r="T983" s="332"/>
    </row>
    <row r="984" spans="1:20" x14ac:dyDescent="0.6">
      <c r="A984" s="334"/>
      <c r="B984" s="610"/>
      <c r="C984" s="365"/>
      <c r="D984" s="364"/>
      <c r="E984" s="363"/>
      <c r="F984" s="363"/>
      <c r="G984" s="364"/>
      <c r="H984" s="363"/>
      <c r="I984" s="363"/>
      <c r="J984" s="364"/>
      <c r="K984" s="363"/>
      <c r="L984" s="363"/>
      <c r="M984" s="737"/>
      <c r="N984" s="332"/>
      <c r="O984" s="332"/>
      <c r="P984" s="332"/>
      <c r="Q984" s="332"/>
      <c r="R984" s="332"/>
      <c r="S984" s="332"/>
      <c r="T984" s="332"/>
    </row>
    <row r="985" spans="1:20" x14ac:dyDescent="0.6">
      <c r="A985" s="334"/>
      <c r="B985" s="610"/>
      <c r="C985" s="365"/>
      <c r="D985" s="364"/>
      <c r="E985" s="363"/>
      <c r="F985" s="363"/>
      <c r="G985" s="364"/>
      <c r="H985" s="363"/>
      <c r="I985" s="363"/>
      <c r="J985" s="364"/>
      <c r="K985" s="363"/>
      <c r="L985" s="363"/>
      <c r="M985" s="737"/>
      <c r="N985" s="332"/>
      <c r="O985" s="332"/>
      <c r="P985" s="332"/>
      <c r="Q985" s="332"/>
      <c r="R985" s="332"/>
      <c r="S985" s="332"/>
      <c r="T985" s="332"/>
    </row>
    <row r="986" spans="1:20" x14ac:dyDescent="0.6">
      <c r="A986" s="334"/>
      <c r="B986" s="610"/>
      <c r="C986" s="365"/>
      <c r="D986" s="364"/>
      <c r="E986" s="363"/>
      <c r="F986" s="363"/>
      <c r="G986" s="364"/>
      <c r="H986" s="363"/>
      <c r="I986" s="363"/>
      <c r="J986" s="364"/>
      <c r="K986" s="363"/>
      <c r="L986" s="363"/>
      <c r="M986" s="737"/>
      <c r="N986" s="332"/>
      <c r="O986" s="332"/>
      <c r="P986" s="332"/>
      <c r="Q986" s="332"/>
      <c r="R986" s="332"/>
      <c r="S986" s="332"/>
      <c r="T986" s="332"/>
    </row>
    <row r="987" spans="1:20" x14ac:dyDescent="0.6">
      <c r="A987" s="334"/>
      <c r="B987" s="610"/>
      <c r="C987" s="365"/>
      <c r="D987" s="364"/>
      <c r="E987" s="363"/>
      <c r="F987" s="363"/>
      <c r="G987" s="364"/>
      <c r="H987" s="363"/>
      <c r="I987" s="363"/>
      <c r="J987" s="364"/>
      <c r="K987" s="363"/>
      <c r="L987" s="363"/>
      <c r="M987" s="737"/>
      <c r="N987" s="332"/>
      <c r="O987" s="332"/>
      <c r="P987" s="332"/>
      <c r="Q987" s="332"/>
      <c r="R987" s="332"/>
      <c r="S987" s="332"/>
      <c r="T987" s="332"/>
    </row>
    <row r="988" spans="1:20" x14ac:dyDescent="0.6">
      <c r="A988" s="334"/>
      <c r="B988" s="610"/>
      <c r="C988" s="365"/>
      <c r="D988" s="364"/>
      <c r="E988" s="363"/>
      <c r="F988" s="363"/>
      <c r="G988" s="364"/>
      <c r="H988" s="363"/>
      <c r="I988" s="363"/>
      <c r="J988" s="364"/>
      <c r="K988" s="363"/>
      <c r="L988" s="363"/>
      <c r="M988" s="737"/>
      <c r="N988" s="332"/>
      <c r="O988" s="332"/>
      <c r="P988" s="332"/>
      <c r="Q988" s="332"/>
      <c r="R988" s="332"/>
      <c r="S988" s="332"/>
      <c r="T988" s="332"/>
    </row>
    <row r="989" spans="1:20" x14ac:dyDescent="0.6">
      <c r="A989" s="334"/>
      <c r="B989" s="610"/>
      <c r="C989" s="365"/>
      <c r="D989" s="364"/>
      <c r="E989" s="363"/>
      <c r="F989" s="363"/>
      <c r="G989" s="364"/>
      <c r="H989" s="363"/>
      <c r="I989" s="363"/>
      <c r="J989" s="364"/>
      <c r="K989" s="363"/>
      <c r="L989" s="363"/>
      <c r="M989" s="737"/>
      <c r="N989" s="332"/>
      <c r="O989" s="332"/>
      <c r="P989" s="332"/>
      <c r="Q989" s="332"/>
      <c r="R989" s="332"/>
      <c r="S989" s="332"/>
      <c r="T989" s="332"/>
    </row>
    <row r="990" spans="1:20" x14ac:dyDescent="0.6">
      <c r="A990" s="334"/>
      <c r="B990" s="610"/>
      <c r="C990" s="365"/>
      <c r="D990" s="364"/>
      <c r="E990" s="363"/>
      <c r="F990" s="363"/>
      <c r="G990" s="364"/>
      <c r="H990" s="363"/>
      <c r="I990" s="363"/>
      <c r="J990" s="364"/>
      <c r="K990" s="363"/>
      <c r="L990" s="363"/>
      <c r="M990" s="737"/>
      <c r="N990" s="332"/>
      <c r="O990" s="332"/>
      <c r="P990" s="332"/>
      <c r="Q990" s="332"/>
      <c r="R990" s="332"/>
      <c r="S990" s="332"/>
      <c r="T990" s="332"/>
    </row>
    <row r="991" spans="1:20" x14ac:dyDescent="0.6">
      <c r="A991" s="334"/>
      <c r="B991" s="610"/>
      <c r="C991" s="365"/>
      <c r="D991" s="364"/>
      <c r="E991" s="363"/>
      <c r="F991" s="363"/>
      <c r="G991" s="364"/>
      <c r="H991" s="363"/>
      <c r="I991" s="363"/>
      <c r="J991" s="364"/>
      <c r="K991" s="363"/>
      <c r="L991" s="363"/>
      <c r="M991" s="737"/>
      <c r="N991" s="332"/>
      <c r="O991" s="332"/>
      <c r="P991" s="332"/>
      <c r="Q991" s="332"/>
      <c r="R991" s="332"/>
      <c r="S991" s="332"/>
      <c r="T991" s="332"/>
    </row>
    <row r="992" spans="1:20" x14ac:dyDescent="0.6">
      <c r="A992" s="334"/>
      <c r="B992" s="610"/>
      <c r="C992" s="365"/>
      <c r="D992" s="364"/>
      <c r="E992" s="363"/>
      <c r="F992" s="363"/>
      <c r="G992" s="364"/>
      <c r="H992" s="363"/>
      <c r="I992" s="363"/>
      <c r="J992" s="364"/>
      <c r="K992" s="363"/>
      <c r="L992" s="363"/>
      <c r="M992" s="737"/>
      <c r="N992" s="332"/>
      <c r="O992" s="332"/>
      <c r="P992" s="332"/>
      <c r="Q992" s="332"/>
      <c r="R992" s="332"/>
      <c r="S992" s="332"/>
      <c r="T992" s="332"/>
    </row>
    <row r="993" spans="1:20" x14ac:dyDescent="0.6">
      <c r="A993" s="334"/>
      <c r="B993" s="610"/>
      <c r="C993" s="365"/>
      <c r="D993" s="364"/>
      <c r="E993" s="363"/>
      <c r="F993" s="363"/>
      <c r="G993" s="364"/>
      <c r="H993" s="363"/>
      <c r="I993" s="363"/>
      <c r="J993" s="364"/>
      <c r="K993" s="363"/>
      <c r="L993" s="363"/>
      <c r="M993" s="737"/>
      <c r="N993" s="332"/>
      <c r="O993" s="332"/>
      <c r="P993" s="332"/>
      <c r="Q993" s="332"/>
      <c r="R993" s="332"/>
      <c r="S993" s="332"/>
      <c r="T993" s="332"/>
    </row>
    <row r="994" spans="1:20" x14ac:dyDescent="0.6">
      <c r="A994" s="334"/>
      <c r="B994" s="610"/>
      <c r="C994" s="365"/>
      <c r="D994" s="364"/>
      <c r="E994" s="363"/>
      <c r="F994" s="363"/>
      <c r="G994" s="364"/>
      <c r="H994" s="363"/>
      <c r="I994" s="363"/>
      <c r="J994" s="364"/>
      <c r="K994" s="363"/>
      <c r="L994" s="363"/>
      <c r="M994" s="737"/>
      <c r="N994" s="332"/>
      <c r="O994" s="332"/>
      <c r="P994" s="332"/>
      <c r="Q994" s="332"/>
      <c r="R994" s="332"/>
      <c r="S994" s="332"/>
      <c r="T994" s="332"/>
    </row>
    <row r="995" spans="1:20" x14ac:dyDescent="0.6">
      <c r="A995" s="334"/>
      <c r="B995" s="610"/>
      <c r="C995" s="365"/>
      <c r="D995" s="364"/>
      <c r="E995" s="363"/>
      <c r="F995" s="363"/>
      <c r="G995" s="364"/>
      <c r="H995" s="363"/>
      <c r="I995" s="363"/>
      <c r="J995" s="364"/>
      <c r="K995" s="363"/>
      <c r="L995" s="363"/>
      <c r="M995" s="737"/>
      <c r="N995" s="332"/>
      <c r="O995" s="332"/>
      <c r="P995" s="332"/>
      <c r="Q995" s="332"/>
      <c r="R995" s="332"/>
      <c r="S995" s="332"/>
      <c r="T995" s="332"/>
    </row>
    <row r="996" spans="1:20" x14ac:dyDescent="0.6">
      <c r="A996" s="334"/>
      <c r="B996" s="610"/>
      <c r="C996" s="365"/>
      <c r="D996" s="364"/>
      <c r="E996" s="363"/>
      <c r="F996" s="363"/>
      <c r="G996" s="364"/>
      <c r="H996" s="363"/>
      <c r="I996" s="363"/>
      <c r="J996" s="364"/>
      <c r="K996" s="363"/>
      <c r="L996" s="363"/>
      <c r="M996" s="737"/>
      <c r="N996" s="332"/>
      <c r="O996" s="332"/>
      <c r="P996" s="332"/>
      <c r="Q996" s="332"/>
      <c r="R996" s="332"/>
      <c r="S996" s="332"/>
      <c r="T996" s="332"/>
    </row>
    <row r="997" spans="1:20" x14ac:dyDescent="0.6">
      <c r="A997" s="334"/>
      <c r="B997" s="610"/>
      <c r="C997" s="365"/>
      <c r="D997" s="364"/>
      <c r="E997" s="363"/>
      <c r="F997" s="363"/>
      <c r="G997" s="364"/>
      <c r="H997" s="363"/>
      <c r="I997" s="363"/>
      <c r="J997" s="364"/>
      <c r="K997" s="363"/>
      <c r="L997" s="363"/>
      <c r="M997" s="737"/>
      <c r="N997" s="332"/>
      <c r="O997" s="332"/>
      <c r="P997" s="332"/>
      <c r="Q997" s="332"/>
      <c r="R997" s="332"/>
      <c r="S997" s="332"/>
      <c r="T997" s="332"/>
    </row>
    <row r="998" spans="1:20" x14ac:dyDescent="0.6">
      <c r="A998" s="334"/>
      <c r="B998" s="610"/>
      <c r="C998" s="365"/>
      <c r="D998" s="364"/>
      <c r="E998" s="363"/>
      <c r="F998" s="363"/>
      <c r="G998" s="364"/>
      <c r="H998" s="363"/>
      <c r="I998" s="363"/>
      <c r="J998" s="364"/>
      <c r="K998" s="363"/>
      <c r="L998" s="363"/>
      <c r="M998" s="737"/>
      <c r="N998" s="332"/>
      <c r="O998" s="332"/>
      <c r="P998" s="332"/>
      <c r="Q998" s="332"/>
      <c r="R998" s="332"/>
      <c r="S998" s="332"/>
      <c r="T998" s="332"/>
    </row>
    <row r="999" spans="1:20" x14ac:dyDescent="0.6">
      <c r="A999" s="334"/>
      <c r="B999" s="610"/>
      <c r="C999" s="365"/>
      <c r="D999" s="364"/>
      <c r="E999" s="363"/>
      <c r="F999" s="363"/>
      <c r="G999" s="364"/>
      <c r="H999" s="363"/>
      <c r="I999" s="363"/>
      <c r="J999" s="364"/>
      <c r="K999" s="363"/>
      <c r="L999" s="363"/>
      <c r="M999" s="737"/>
      <c r="N999" s="332"/>
      <c r="O999" s="332"/>
      <c r="P999" s="332"/>
      <c r="Q999" s="332"/>
      <c r="R999" s="332"/>
      <c r="S999" s="332"/>
      <c r="T999" s="332"/>
    </row>
    <row r="1000" spans="1:20" x14ac:dyDescent="0.6">
      <c r="A1000" s="334"/>
      <c r="B1000" s="610"/>
      <c r="C1000" s="365"/>
      <c r="D1000" s="364"/>
      <c r="E1000" s="363"/>
      <c r="F1000" s="363"/>
      <c r="G1000" s="364"/>
      <c r="H1000" s="363"/>
      <c r="I1000" s="363"/>
      <c r="J1000" s="364"/>
      <c r="K1000" s="363"/>
      <c r="L1000" s="363"/>
      <c r="M1000" s="737"/>
      <c r="N1000" s="332"/>
      <c r="O1000" s="332"/>
      <c r="P1000" s="332"/>
      <c r="Q1000" s="332"/>
      <c r="R1000" s="332"/>
      <c r="S1000" s="332"/>
      <c r="T1000" s="332"/>
    </row>
    <row r="1001" spans="1:20" x14ac:dyDescent="0.6">
      <c r="A1001" s="334"/>
      <c r="B1001" s="610"/>
      <c r="C1001" s="365"/>
      <c r="D1001" s="364"/>
      <c r="E1001" s="363"/>
      <c r="F1001" s="363"/>
      <c r="G1001" s="364"/>
      <c r="H1001" s="363"/>
      <c r="I1001" s="363"/>
      <c r="J1001" s="364"/>
      <c r="K1001" s="363"/>
      <c r="L1001" s="363"/>
      <c r="M1001" s="737"/>
      <c r="N1001" s="332"/>
      <c r="O1001" s="332"/>
      <c r="P1001" s="332"/>
      <c r="Q1001" s="332"/>
      <c r="R1001" s="332"/>
      <c r="S1001" s="332"/>
      <c r="T1001" s="332"/>
    </row>
    <row r="1002" spans="1:20" x14ac:dyDescent="0.6">
      <c r="A1002" s="334"/>
      <c r="B1002" s="610"/>
      <c r="C1002" s="365"/>
      <c r="D1002" s="364"/>
      <c r="E1002" s="363"/>
      <c r="F1002" s="363"/>
      <c r="G1002" s="364"/>
      <c r="H1002" s="363"/>
      <c r="I1002" s="363"/>
      <c r="J1002" s="364"/>
      <c r="K1002" s="363"/>
      <c r="L1002" s="363"/>
      <c r="M1002" s="737"/>
      <c r="N1002" s="332"/>
      <c r="O1002" s="332"/>
      <c r="P1002" s="332"/>
      <c r="Q1002" s="332"/>
      <c r="R1002" s="332"/>
      <c r="S1002" s="332"/>
      <c r="T1002" s="332"/>
    </row>
    <row r="1003" spans="1:20" x14ac:dyDescent="0.6">
      <c r="A1003" s="334"/>
      <c r="B1003" s="610"/>
      <c r="C1003" s="365"/>
      <c r="D1003" s="364"/>
      <c r="E1003" s="363"/>
      <c r="F1003" s="363"/>
      <c r="G1003" s="364"/>
      <c r="H1003" s="363"/>
      <c r="I1003" s="363"/>
      <c r="J1003" s="364"/>
      <c r="K1003" s="363"/>
      <c r="L1003" s="363"/>
      <c r="M1003" s="737"/>
      <c r="N1003" s="332"/>
      <c r="O1003" s="332"/>
      <c r="P1003" s="332"/>
      <c r="Q1003" s="332"/>
      <c r="R1003" s="332"/>
      <c r="S1003" s="332"/>
      <c r="T1003" s="332"/>
    </row>
    <row r="1004" spans="1:20" x14ac:dyDescent="0.6">
      <c r="A1004" s="334"/>
      <c r="B1004" s="610"/>
      <c r="C1004" s="365"/>
      <c r="D1004" s="364"/>
      <c r="E1004" s="363"/>
      <c r="F1004" s="363"/>
      <c r="G1004" s="364"/>
      <c r="H1004" s="363"/>
      <c r="I1004" s="363"/>
      <c r="J1004" s="364"/>
      <c r="K1004" s="363"/>
      <c r="L1004" s="363"/>
      <c r="M1004" s="737"/>
      <c r="N1004" s="332"/>
      <c r="O1004" s="332"/>
      <c r="P1004" s="332"/>
      <c r="Q1004" s="332"/>
      <c r="R1004" s="332"/>
      <c r="S1004" s="332"/>
      <c r="T1004" s="332"/>
    </row>
    <row r="1005" spans="1:20" x14ac:dyDescent="0.6">
      <c r="A1005" s="334"/>
      <c r="B1005" s="610"/>
      <c r="C1005" s="365"/>
      <c r="D1005" s="364"/>
      <c r="E1005" s="363"/>
      <c r="F1005" s="363"/>
      <c r="G1005" s="364"/>
      <c r="H1005" s="363"/>
      <c r="I1005" s="363"/>
      <c r="J1005" s="364"/>
      <c r="K1005" s="363"/>
      <c r="L1005" s="363"/>
      <c r="M1005" s="737"/>
      <c r="N1005" s="332"/>
      <c r="O1005" s="332"/>
      <c r="P1005" s="332"/>
      <c r="Q1005" s="332"/>
      <c r="R1005" s="332"/>
      <c r="S1005" s="332"/>
      <c r="T1005" s="332"/>
    </row>
    <row r="1006" spans="1:20" x14ac:dyDescent="0.6">
      <c r="A1006" s="334"/>
      <c r="B1006" s="610"/>
      <c r="C1006" s="365"/>
      <c r="D1006" s="364"/>
      <c r="E1006" s="363"/>
      <c r="F1006" s="363"/>
      <c r="G1006" s="364"/>
      <c r="H1006" s="363"/>
      <c r="I1006" s="363"/>
      <c r="J1006" s="364"/>
      <c r="K1006" s="363"/>
      <c r="L1006" s="363"/>
      <c r="M1006" s="737"/>
      <c r="N1006" s="332"/>
      <c r="O1006" s="332"/>
      <c r="P1006" s="332"/>
      <c r="Q1006" s="332"/>
      <c r="R1006" s="332"/>
      <c r="S1006" s="332"/>
      <c r="T1006" s="332"/>
    </row>
    <row r="1007" spans="1:20" x14ac:dyDescent="0.6">
      <c r="A1007" s="334"/>
      <c r="B1007" s="610"/>
      <c r="C1007" s="365"/>
      <c r="D1007" s="364"/>
      <c r="E1007" s="363"/>
      <c r="F1007" s="363"/>
      <c r="G1007" s="364"/>
      <c r="H1007" s="363"/>
      <c r="I1007" s="363"/>
      <c r="J1007" s="364"/>
      <c r="K1007" s="363"/>
      <c r="L1007" s="363"/>
      <c r="M1007" s="737"/>
      <c r="N1007" s="332"/>
      <c r="O1007" s="332"/>
      <c r="P1007" s="332"/>
      <c r="Q1007" s="332"/>
      <c r="R1007" s="332"/>
      <c r="S1007" s="332"/>
      <c r="T1007" s="332"/>
    </row>
    <row r="1008" spans="1:20" x14ac:dyDescent="0.6">
      <c r="A1008" s="334"/>
      <c r="B1008" s="610"/>
      <c r="C1008" s="365"/>
      <c r="D1008" s="364"/>
      <c r="E1008" s="363"/>
      <c r="F1008" s="363"/>
      <c r="G1008" s="364"/>
      <c r="H1008" s="363"/>
      <c r="I1008" s="363"/>
      <c r="J1008" s="364"/>
      <c r="K1008" s="363"/>
      <c r="L1008" s="363"/>
      <c r="M1008" s="737"/>
      <c r="N1008" s="332"/>
      <c r="O1008" s="332"/>
      <c r="P1008" s="332"/>
      <c r="Q1008" s="332"/>
      <c r="R1008" s="332"/>
      <c r="S1008" s="332"/>
      <c r="T1008" s="332"/>
    </row>
    <row r="1009" spans="1:20" x14ac:dyDescent="0.6">
      <c r="A1009" s="334"/>
      <c r="B1009" s="610"/>
      <c r="C1009" s="365"/>
      <c r="D1009" s="364"/>
      <c r="E1009" s="363"/>
      <c r="F1009" s="363"/>
      <c r="G1009" s="364"/>
      <c r="H1009" s="363"/>
      <c r="I1009" s="363"/>
      <c r="J1009" s="364"/>
      <c r="K1009" s="363"/>
      <c r="L1009" s="363"/>
      <c r="M1009" s="737"/>
      <c r="N1009" s="332"/>
      <c r="O1009" s="332"/>
      <c r="P1009" s="332"/>
      <c r="Q1009" s="332"/>
      <c r="R1009" s="332"/>
      <c r="S1009" s="332"/>
      <c r="T1009" s="332"/>
    </row>
    <row r="1010" spans="1:20" x14ac:dyDescent="0.6">
      <c r="A1010" s="334"/>
      <c r="B1010" s="610"/>
      <c r="C1010" s="365"/>
      <c r="D1010" s="364"/>
      <c r="E1010" s="363"/>
      <c r="F1010" s="363"/>
      <c r="G1010" s="364"/>
      <c r="H1010" s="363"/>
      <c r="I1010" s="363"/>
      <c r="J1010" s="364"/>
      <c r="K1010" s="363"/>
      <c r="L1010" s="363"/>
      <c r="M1010" s="737"/>
      <c r="N1010" s="332"/>
      <c r="O1010" s="332"/>
      <c r="P1010" s="332"/>
      <c r="Q1010" s="332"/>
      <c r="R1010" s="332"/>
      <c r="S1010" s="332"/>
      <c r="T1010" s="332"/>
    </row>
    <row r="1011" spans="1:20" x14ac:dyDescent="0.6">
      <c r="A1011" s="334"/>
      <c r="B1011" s="610"/>
      <c r="C1011" s="365"/>
      <c r="D1011" s="364"/>
      <c r="E1011" s="363"/>
      <c r="F1011" s="363"/>
      <c r="G1011" s="364"/>
      <c r="H1011" s="363"/>
      <c r="I1011" s="363"/>
      <c r="J1011" s="364"/>
      <c r="K1011" s="363"/>
      <c r="L1011" s="363"/>
      <c r="M1011" s="737"/>
      <c r="N1011" s="332"/>
      <c r="O1011" s="332"/>
      <c r="P1011" s="332"/>
      <c r="Q1011" s="332"/>
      <c r="R1011" s="332"/>
      <c r="S1011" s="332"/>
      <c r="T1011" s="332"/>
    </row>
    <row r="1012" spans="1:20" x14ac:dyDescent="0.6">
      <c r="A1012" s="334"/>
      <c r="B1012" s="610"/>
      <c r="C1012" s="365"/>
      <c r="D1012" s="364"/>
      <c r="E1012" s="363"/>
      <c r="F1012" s="363"/>
      <c r="G1012" s="364"/>
      <c r="H1012" s="363"/>
      <c r="I1012" s="363"/>
      <c r="J1012" s="364"/>
      <c r="K1012" s="363"/>
      <c r="L1012" s="363"/>
      <c r="M1012" s="737"/>
      <c r="N1012" s="332"/>
      <c r="O1012" s="332"/>
      <c r="P1012" s="332"/>
      <c r="Q1012" s="332"/>
      <c r="R1012" s="332"/>
      <c r="S1012" s="332"/>
      <c r="T1012" s="332"/>
    </row>
    <row r="1013" spans="1:20" x14ac:dyDescent="0.6">
      <c r="A1013" s="334"/>
      <c r="B1013" s="610"/>
      <c r="C1013" s="365"/>
      <c r="D1013" s="364"/>
      <c r="E1013" s="363"/>
      <c r="F1013" s="363"/>
      <c r="G1013" s="364"/>
      <c r="H1013" s="363"/>
      <c r="I1013" s="363"/>
      <c r="J1013" s="364"/>
      <c r="K1013" s="363"/>
      <c r="L1013" s="363"/>
      <c r="M1013" s="737"/>
      <c r="N1013" s="332"/>
      <c r="O1013" s="332"/>
      <c r="P1013" s="332"/>
      <c r="Q1013" s="332"/>
      <c r="R1013" s="332"/>
      <c r="S1013" s="332"/>
      <c r="T1013" s="332"/>
    </row>
    <row r="1014" spans="1:20" x14ac:dyDescent="0.6">
      <c r="A1014" s="334"/>
      <c r="B1014" s="610"/>
      <c r="C1014" s="365"/>
      <c r="D1014" s="364"/>
      <c r="E1014" s="363"/>
      <c r="F1014" s="363"/>
      <c r="G1014" s="364"/>
      <c r="H1014" s="363"/>
      <c r="I1014" s="363"/>
      <c r="J1014" s="364"/>
      <c r="K1014" s="363"/>
      <c r="L1014" s="363"/>
      <c r="M1014" s="737"/>
      <c r="N1014" s="332"/>
      <c r="O1014" s="332"/>
      <c r="P1014" s="332"/>
      <c r="Q1014" s="332"/>
      <c r="R1014" s="332"/>
      <c r="S1014" s="332"/>
      <c r="T1014" s="332"/>
    </row>
    <row r="1015" spans="1:20" x14ac:dyDescent="0.6">
      <c r="A1015" s="334"/>
      <c r="B1015" s="610"/>
      <c r="C1015" s="365"/>
      <c r="D1015" s="364"/>
      <c r="E1015" s="363"/>
      <c r="F1015" s="363"/>
      <c r="G1015" s="364"/>
      <c r="H1015" s="363"/>
      <c r="I1015" s="363"/>
      <c r="J1015" s="364"/>
      <c r="K1015" s="363"/>
      <c r="L1015" s="363"/>
      <c r="M1015" s="737"/>
      <c r="N1015" s="332"/>
      <c r="O1015" s="332"/>
      <c r="P1015" s="332"/>
      <c r="Q1015" s="332"/>
      <c r="R1015" s="332"/>
      <c r="S1015" s="332"/>
      <c r="T1015" s="332"/>
    </row>
    <row r="1016" spans="1:20" x14ac:dyDescent="0.6">
      <c r="A1016" s="334"/>
      <c r="B1016" s="610"/>
      <c r="C1016" s="365"/>
      <c r="D1016" s="364"/>
      <c r="E1016" s="363"/>
      <c r="F1016" s="363"/>
      <c r="G1016" s="364"/>
      <c r="H1016" s="363"/>
      <c r="I1016" s="363"/>
      <c r="J1016" s="364"/>
      <c r="K1016" s="363"/>
      <c r="L1016" s="363"/>
      <c r="M1016" s="737"/>
      <c r="N1016" s="332"/>
      <c r="O1016" s="332"/>
      <c r="P1016" s="332"/>
      <c r="Q1016" s="332"/>
      <c r="R1016" s="332"/>
      <c r="S1016" s="332"/>
      <c r="T1016" s="332"/>
    </row>
    <row r="1017" spans="1:20" x14ac:dyDescent="0.6">
      <c r="A1017" s="334"/>
      <c r="B1017" s="610"/>
      <c r="C1017" s="365"/>
      <c r="D1017" s="364"/>
      <c r="E1017" s="363"/>
      <c r="F1017" s="363"/>
      <c r="G1017" s="364"/>
      <c r="H1017" s="363"/>
      <c r="I1017" s="363"/>
      <c r="J1017" s="364"/>
      <c r="K1017" s="363"/>
      <c r="L1017" s="363"/>
      <c r="M1017" s="737"/>
      <c r="N1017" s="332"/>
      <c r="O1017" s="332"/>
      <c r="P1017" s="332"/>
      <c r="Q1017" s="332"/>
      <c r="R1017" s="332"/>
      <c r="S1017" s="332"/>
      <c r="T1017" s="332"/>
    </row>
    <row r="1018" spans="1:20" x14ac:dyDescent="0.6">
      <c r="A1018" s="334"/>
      <c r="B1018" s="610"/>
      <c r="C1018" s="365"/>
      <c r="D1018" s="364"/>
      <c r="E1018" s="363"/>
      <c r="F1018" s="363"/>
      <c r="G1018" s="364"/>
      <c r="H1018" s="363"/>
      <c r="I1018" s="363"/>
      <c r="J1018" s="364"/>
      <c r="K1018" s="363"/>
      <c r="L1018" s="363"/>
      <c r="M1018" s="737"/>
      <c r="N1018" s="332"/>
      <c r="O1018" s="332"/>
      <c r="P1018" s="332"/>
      <c r="Q1018" s="332"/>
      <c r="R1018" s="332"/>
      <c r="S1018" s="332"/>
      <c r="T1018" s="332"/>
    </row>
    <row r="1019" spans="1:20" x14ac:dyDescent="0.6">
      <c r="A1019" s="334"/>
      <c r="B1019" s="610"/>
      <c r="C1019" s="365"/>
      <c r="D1019" s="364"/>
      <c r="E1019" s="363"/>
      <c r="F1019" s="363"/>
      <c r="G1019" s="364"/>
      <c r="H1019" s="363"/>
      <c r="I1019" s="363"/>
      <c r="J1019" s="364"/>
      <c r="K1019" s="363"/>
      <c r="L1019" s="363"/>
      <c r="M1019" s="737"/>
      <c r="N1019" s="332"/>
      <c r="O1019" s="332"/>
      <c r="P1019" s="332"/>
      <c r="Q1019" s="332"/>
      <c r="R1019" s="332"/>
      <c r="S1019" s="332"/>
      <c r="T1019" s="332"/>
    </row>
    <row r="1020" spans="1:20" x14ac:dyDescent="0.6">
      <c r="A1020" s="334"/>
      <c r="B1020" s="610"/>
      <c r="C1020" s="365"/>
      <c r="D1020" s="364"/>
      <c r="E1020" s="363"/>
      <c r="F1020" s="363"/>
      <c r="G1020" s="364"/>
      <c r="H1020" s="363"/>
      <c r="I1020" s="363"/>
      <c r="J1020" s="364"/>
      <c r="K1020" s="363"/>
      <c r="L1020" s="363"/>
      <c r="M1020" s="737"/>
      <c r="N1020" s="332"/>
      <c r="O1020" s="332"/>
      <c r="P1020" s="332"/>
      <c r="Q1020" s="332"/>
      <c r="R1020" s="332"/>
      <c r="S1020" s="332"/>
      <c r="T1020" s="332"/>
    </row>
    <row r="1021" spans="1:20" x14ac:dyDescent="0.6">
      <c r="A1021" s="334"/>
      <c r="B1021" s="610"/>
      <c r="C1021" s="365"/>
      <c r="D1021" s="364"/>
      <c r="E1021" s="363"/>
      <c r="F1021" s="363"/>
      <c r="G1021" s="364"/>
      <c r="H1021" s="363"/>
      <c r="I1021" s="363"/>
      <c r="J1021" s="364"/>
      <c r="K1021" s="363"/>
      <c r="L1021" s="363"/>
      <c r="M1021" s="737"/>
      <c r="N1021" s="332"/>
      <c r="O1021" s="332"/>
      <c r="P1021" s="332"/>
      <c r="Q1021" s="332"/>
      <c r="R1021" s="332"/>
      <c r="S1021" s="332"/>
      <c r="T1021" s="332"/>
    </row>
    <row r="1022" spans="1:20" x14ac:dyDescent="0.6">
      <c r="A1022" s="334"/>
      <c r="B1022" s="610"/>
      <c r="C1022" s="365"/>
      <c r="D1022" s="364"/>
      <c r="E1022" s="363"/>
      <c r="F1022" s="363"/>
      <c r="G1022" s="364"/>
      <c r="H1022" s="363"/>
      <c r="I1022" s="363"/>
      <c r="J1022" s="364"/>
      <c r="K1022" s="363"/>
      <c r="L1022" s="363"/>
      <c r="M1022" s="737"/>
      <c r="N1022" s="332"/>
      <c r="O1022" s="332"/>
      <c r="P1022" s="332"/>
      <c r="Q1022" s="332"/>
      <c r="R1022" s="332"/>
      <c r="S1022" s="332"/>
      <c r="T1022" s="332"/>
    </row>
    <row r="1023" spans="1:20" x14ac:dyDescent="0.6">
      <c r="A1023" s="334"/>
      <c r="B1023" s="610"/>
      <c r="C1023" s="365"/>
      <c r="D1023" s="364"/>
      <c r="E1023" s="363"/>
      <c r="F1023" s="363"/>
      <c r="G1023" s="364"/>
      <c r="H1023" s="363"/>
      <c r="I1023" s="363"/>
      <c r="J1023" s="364"/>
      <c r="K1023" s="363"/>
      <c r="L1023" s="363"/>
      <c r="M1023" s="737"/>
      <c r="N1023" s="332"/>
      <c r="O1023" s="332"/>
      <c r="P1023" s="332"/>
      <c r="Q1023" s="332"/>
      <c r="R1023" s="332"/>
      <c r="S1023" s="332"/>
      <c r="T1023" s="332"/>
    </row>
    <row r="1024" spans="1:20" x14ac:dyDescent="0.6">
      <c r="A1024" s="334"/>
      <c r="B1024" s="610"/>
      <c r="C1024" s="365"/>
      <c r="D1024" s="364"/>
      <c r="E1024" s="363"/>
      <c r="F1024" s="363"/>
      <c r="G1024" s="364"/>
      <c r="H1024" s="363"/>
      <c r="I1024" s="363"/>
      <c r="J1024" s="364"/>
      <c r="K1024" s="363"/>
      <c r="L1024" s="363"/>
      <c r="M1024" s="737"/>
      <c r="N1024" s="332"/>
      <c r="O1024" s="332"/>
      <c r="P1024" s="332"/>
      <c r="Q1024" s="332"/>
      <c r="R1024" s="332"/>
      <c r="S1024" s="332"/>
      <c r="T1024" s="332"/>
    </row>
    <row r="1025" spans="1:20" x14ac:dyDescent="0.6">
      <c r="A1025" s="334"/>
      <c r="B1025" s="610"/>
      <c r="C1025" s="365"/>
      <c r="D1025" s="364"/>
      <c r="E1025" s="363"/>
      <c r="F1025" s="363"/>
      <c r="G1025" s="364"/>
      <c r="H1025" s="363"/>
      <c r="I1025" s="363"/>
      <c r="J1025" s="364"/>
      <c r="K1025" s="363"/>
      <c r="L1025" s="363"/>
      <c r="M1025" s="737"/>
      <c r="N1025" s="332"/>
      <c r="O1025" s="332"/>
      <c r="P1025" s="332"/>
      <c r="Q1025" s="332"/>
      <c r="R1025" s="332"/>
      <c r="S1025" s="332"/>
      <c r="T1025" s="332"/>
    </row>
    <row r="1026" spans="1:20" x14ac:dyDescent="0.6">
      <c r="A1026" s="334"/>
      <c r="B1026" s="610"/>
      <c r="C1026" s="365"/>
      <c r="D1026" s="364"/>
      <c r="E1026" s="363"/>
      <c r="F1026" s="363"/>
      <c r="G1026" s="364"/>
      <c r="H1026" s="363"/>
      <c r="I1026" s="363"/>
      <c r="J1026" s="364"/>
      <c r="K1026" s="363"/>
      <c r="L1026" s="363"/>
      <c r="M1026" s="737"/>
      <c r="N1026" s="332"/>
      <c r="O1026" s="332"/>
      <c r="P1026" s="332"/>
      <c r="Q1026" s="332"/>
      <c r="R1026" s="332"/>
      <c r="S1026" s="332"/>
      <c r="T1026" s="332"/>
    </row>
    <row r="1027" spans="1:20" x14ac:dyDescent="0.6">
      <c r="A1027" s="334"/>
      <c r="B1027" s="610"/>
      <c r="C1027" s="365"/>
      <c r="D1027" s="364"/>
      <c r="E1027" s="363"/>
      <c r="F1027" s="363"/>
      <c r="G1027" s="364"/>
      <c r="H1027" s="363"/>
      <c r="I1027" s="363"/>
      <c r="J1027" s="364"/>
      <c r="K1027" s="363"/>
      <c r="L1027" s="363"/>
      <c r="M1027" s="737"/>
      <c r="N1027" s="332"/>
      <c r="O1027" s="332"/>
      <c r="P1027" s="332"/>
      <c r="Q1027" s="332"/>
      <c r="R1027" s="332"/>
      <c r="S1027" s="332"/>
      <c r="T1027" s="332"/>
    </row>
    <row r="1028" spans="1:20" x14ac:dyDescent="0.6">
      <c r="A1028" s="334"/>
      <c r="B1028" s="610"/>
      <c r="C1028" s="365"/>
      <c r="D1028" s="364"/>
      <c r="E1028" s="363"/>
      <c r="F1028" s="363"/>
      <c r="G1028" s="364"/>
      <c r="H1028" s="363"/>
      <c r="I1028" s="363"/>
      <c r="J1028" s="364"/>
      <c r="K1028" s="363"/>
      <c r="L1028" s="363"/>
      <c r="M1028" s="737"/>
      <c r="N1028" s="332"/>
      <c r="O1028" s="332"/>
      <c r="P1028" s="332"/>
      <c r="Q1028" s="332"/>
      <c r="R1028" s="332"/>
      <c r="S1028" s="332"/>
      <c r="T1028" s="332"/>
    </row>
    <row r="1029" spans="1:20" x14ac:dyDescent="0.6">
      <c r="A1029" s="334"/>
      <c r="B1029" s="610"/>
      <c r="C1029" s="365"/>
      <c r="D1029" s="364"/>
      <c r="E1029" s="363"/>
      <c r="F1029" s="363"/>
      <c r="G1029" s="364"/>
      <c r="H1029" s="363"/>
      <c r="I1029" s="363"/>
      <c r="J1029" s="364"/>
      <c r="K1029" s="363"/>
      <c r="L1029" s="363"/>
      <c r="M1029" s="737"/>
      <c r="N1029" s="332"/>
      <c r="O1029" s="332"/>
      <c r="P1029" s="332"/>
      <c r="Q1029" s="332"/>
      <c r="R1029" s="332"/>
      <c r="S1029" s="332"/>
      <c r="T1029" s="332"/>
    </row>
    <row r="1030" spans="1:20" x14ac:dyDescent="0.6">
      <c r="A1030" s="334"/>
      <c r="B1030" s="610"/>
      <c r="C1030" s="365"/>
      <c r="D1030" s="364"/>
      <c r="E1030" s="363"/>
      <c r="F1030" s="363"/>
      <c r="G1030" s="364"/>
      <c r="H1030" s="363"/>
      <c r="I1030" s="363"/>
      <c r="J1030" s="364"/>
      <c r="K1030" s="363"/>
      <c r="L1030" s="363"/>
      <c r="M1030" s="737"/>
      <c r="N1030" s="332"/>
      <c r="O1030" s="332"/>
      <c r="P1030" s="332"/>
      <c r="Q1030" s="332"/>
      <c r="R1030" s="332"/>
      <c r="S1030" s="332"/>
      <c r="T1030" s="332"/>
    </row>
    <row r="1031" spans="1:20" x14ac:dyDescent="0.6">
      <c r="A1031" s="334"/>
      <c r="B1031" s="610"/>
      <c r="C1031" s="365"/>
      <c r="D1031" s="364"/>
      <c r="E1031" s="363"/>
      <c r="F1031" s="363"/>
      <c r="G1031" s="364"/>
      <c r="H1031" s="363"/>
      <c r="I1031" s="363"/>
      <c r="J1031" s="364"/>
      <c r="K1031" s="363"/>
      <c r="L1031" s="363"/>
      <c r="M1031" s="737"/>
      <c r="N1031" s="332"/>
      <c r="O1031" s="332"/>
      <c r="P1031" s="332"/>
      <c r="Q1031" s="332"/>
      <c r="R1031" s="332"/>
      <c r="S1031" s="332"/>
      <c r="T1031" s="332"/>
    </row>
    <row r="1032" spans="1:20" x14ac:dyDescent="0.6">
      <c r="A1032" s="334"/>
      <c r="B1032" s="610"/>
      <c r="C1032" s="365"/>
      <c r="D1032" s="364"/>
      <c r="E1032" s="363"/>
      <c r="F1032" s="363"/>
      <c r="G1032" s="364"/>
      <c r="H1032" s="363"/>
      <c r="I1032" s="363"/>
      <c r="J1032" s="364"/>
      <c r="K1032" s="363"/>
      <c r="L1032" s="363"/>
      <c r="M1032" s="737"/>
      <c r="N1032" s="332"/>
      <c r="O1032" s="332"/>
      <c r="P1032" s="332"/>
      <c r="Q1032" s="332"/>
      <c r="R1032" s="332"/>
      <c r="S1032" s="332"/>
      <c r="T1032" s="332"/>
    </row>
    <row r="1033" spans="1:20" x14ac:dyDescent="0.6">
      <c r="A1033" s="334"/>
      <c r="B1033" s="610"/>
      <c r="C1033" s="365"/>
      <c r="D1033" s="364"/>
      <c r="E1033" s="363"/>
      <c r="F1033" s="363"/>
      <c r="G1033" s="364"/>
      <c r="H1033" s="363"/>
      <c r="I1033" s="363"/>
      <c r="J1033" s="364"/>
      <c r="K1033" s="363"/>
      <c r="L1033" s="363"/>
      <c r="M1033" s="737"/>
      <c r="N1033" s="332"/>
      <c r="O1033" s="332"/>
      <c r="P1033" s="332"/>
      <c r="Q1033" s="332"/>
      <c r="R1033" s="332"/>
      <c r="S1033" s="332"/>
      <c r="T1033" s="332"/>
    </row>
    <row r="1034" spans="1:20" x14ac:dyDescent="0.6">
      <c r="A1034" s="334"/>
      <c r="B1034" s="610"/>
      <c r="C1034" s="365"/>
      <c r="D1034" s="364"/>
      <c r="E1034" s="363"/>
      <c r="F1034" s="363"/>
      <c r="G1034" s="364"/>
      <c r="H1034" s="363"/>
      <c r="I1034" s="363"/>
      <c r="J1034" s="364"/>
      <c r="K1034" s="363"/>
      <c r="L1034" s="363"/>
      <c r="M1034" s="737"/>
      <c r="N1034" s="332"/>
      <c r="O1034" s="332"/>
      <c r="P1034" s="332"/>
      <c r="Q1034" s="332"/>
      <c r="R1034" s="332"/>
      <c r="S1034" s="332"/>
      <c r="T1034" s="332"/>
    </row>
    <row r="1035" spans="1:20" x14ac:dyDescent="0.6">
      <c r="A1035" s="334"/>
      <c r="B1035" s="610"/>
      <c r="C1035" s="365"/>
      <c r="D1035" s="364"/>
      <c r="E1035" s="363"/>
      <c r="F1035" s="363"/>
      <c r="G1035" s="364"/>
      <c r="H1035" s="363"/>
      <c r="I1035" s="363"/>
      <c r="J1035" s="364"/>
      <c r="K1035" s="363"/>
      <c r="L1035" s="363"/>
      <c r="M1035" s="737"/>
      <c r="N1035" s="332"/>
      <c r="O1035" s="332"/>
      <c r="P1035" s="332"/>
      <c r="Q1035" s="332"/>
      <c r="R1035" s="332"/>
      <c r="S1035" s="332"/>
      <c r="T1035" s="332"/>
    </row>
    <row r="1036" spans="1:20" x14ac:dyDescent="0.6">
      <c r="A1036" s="334"/>
      <c r="B1036" s="610"/>
      <c r="C1036" s="365"/>
      <c r="D1036" s="364"/>
      <c r="E1036" s="363"/>
      <c r="F1036" s="363"/>
      <c r="G1036" s="364"/>
      <c r="H1036" s="363"/>
      <c r="I1036" s="363"/>
      <c r="J1036" s="364"/>
      <c r="K1036" s="363"/>
      <c r="L1036" s="363"/>
      <c r="M1036" s="737"/>
      <c r="N1036" s="332"/>
      <c r="O1036" s="332"/>
      <c r="P1036" s="332"/>
      <c r="Q1036" s="332"/>
      <c r="R1036" s="332"/>
      <c r="S1036" s="332"/>
      <c r="T1036" s="332"/>
    </row>
    <row r="1037" spans="1:20" x14ac:dyDescent="0.6">
      <c r="A1037" s="334"/>
      <c r="B1037" s="610"/>
      <c r="C1037" s="365"/>
      <c r="D1037" s="364"/>
      <c r="E1037" s="363"/>
      <c r="F1037" s="363"/>
      <c r="G1037" s="364"/>
      <c r="H1037" s="363"/>
      <c r="I1037" s="363"/>
      <c r="J1037" s="364"/>
      <c r="K1037" s="363"/>
      <c r="L1037" s="363"/>
      <c r="M1037" s="737"/>
      <c r="N1037" s="332"/>
      <c r="O1037" s="332"/>
      <c r="P1037" s="332"/>
      <c r="Q1037" s="332"/>
      <c r="R1037" s="332"/>
      <c r="S1037" s="332"/>
      <c r="T1037" s="332"/>
    </row>
    <row r="1038" spans="1:20" x14ac:dyDescent="0.6">
      <c r="A1038" s="334"/>
      <c r="B1038" s="610"/>
      <c r="C1038" s="365"/>
      <c r="D1038" s="364"/>
      <c r="E1038" s="363"/>
      <c r="F1038" s="363"/>
      <c r="G1038" s="364"/>
      <c r="H1038" s="363"/>
      <c r="I1038" s="363"/>
      <c r="J1038" s="364"/>
      <c r="K1038" s="363"/>
      <c r="L1038" s="363"/>
      <c r="M1038" s="737"/>
      <c r="N1038" s="332"/>
      <c r="O1038" s="332"/>
      <c r="P1038" s="332"/>
      <c r="Q1038" s="332"/>
      <c r="R1038" s="332"/>
      <c r="S1038" s="332"/>
      <c r="T1038" s="332"/>
    </row>
    <row r="1039" spans="1:20" x14ac:dyDescent="0.6">
      <c r="A1039" s="334"/>
      <c r="B1039" s="610"/>
      <c r="C1039" s="365"/>
      <c r="D1039" s="364"/>
      <c r="E1039" s="363"/>
      <c r="F1039" s="363"/>
      <c r="G1039" s="364"/>
      <c r="H1039" s="363"/>
      <c r="I1039" s="363"/>
      <c r="J1039" s="364"/>
      <c r="K1039" s="363"/>
      <c r="L1039" s="363"/>
      <c r="M1039" s="737"/>
      <c r="N1039" s="332"/>
      <c r="O1039" s="332"/>
      <c r="P1039" s="332"/>
      <c r="Q1039" s="332"/>
      <c r="R1039" s="332"/>
      <c r="S1039" s="332"/>
      <c r="T1039" s="332"/>
    </row>
    <row r="1040" spans="1:20" x14ac:dyDescent="0.6">
      <c r="A1040" s="334"/>
      <c r="B1040" s="610"/>
      <c r="C1040" s="365"/>
      <c r="D1040" s="364"/>
      <c r="E1040" s="363"/>
      <c r="F1040" s="363"/>
      <c r="G1040" s="364"/>
      <c r="H1040" s="363"/>
      <c r="I1040" s="363"/>
      <c r="J1040" s="364"/>
      <c r="K1040" s="363"/>
      <c r="L1040" s="363"/>
      <c r="M1040" s="737"/>
      <c r="N1040" s="332"/>
      <c r="O1040" s="332"/>
      <c r="P1040" s="332"/>
      <c r="Q1040" s="332"/>
      <c r="R1040" s="332"/>
      <c r="S1040" s="332"/>
      <c r="T1040" s="332"/>
    </row>
    <row r="1041" spans="1:20" x14ac:dyDescent="0.6">
      <c r="A1041" s="334"/>
      <c r="B1041" s="610"/>
      <c r="C1041" s="365"/>
      <c r="D1041" s="364"/>
      <c r="E1041" s="363"/>
      <c r="F1041" s="363"/>
      <c r="G1041" s="364"/>
      <c r="H1041" s="363"/>
      <c r="I1041" s="363"/>
      <c r="J1041" s="364"/>
      <c r="K1041" s="363"/>
      <c r="L1041" s="363"/>
      <c r="M1041" s="737"/>
      <c r="N1041" s="332"/>
      <c r="O1041" s="332"/>
      <c r="P1041" s="332"/>
      <c r="Q1041" s="332"/>
      <c r="R1041" s="332"/>
      <c r="S1041" s="332"/>
      <c r="T1041" s="332"/>
    </row>
    <row r="1042" spans="1:20" x14ac:dyDescent="0.6">
      <c r="A1042" s="334"/>
      <c r="B1042" s="610"/>
      <c r="C1042" s="365"/>
      <c r="D1042" s="364"/>
      <c r="E1042" s="363"/>
      <c r="F1042" s="363"/>
      <c r="G1042" s="364"/>
      <c r="H1042" s="363"/>
      <c r="I1042" s="363"/>
      <c r="J1042" s="364"/>
      <c r="K1042" s="363"/>
      <c r="L1042" s="363"/>
      <c r="M1042" s="737"/>
      <c r="N1042" s="332"/>
      <c r="O1042" s="332"/>
      <c r="P1042" s="332"/>
      <c r="Q1042" s="332"/>
      <c r="R1042" s="332"/>
      <c r="S1042" s="332"/>
      <c r="T1042" s="332"/>
    </row>
    <row r="1043" spans="1:20" x14ac:dyDescent="0.6">
      <c r="A1043" s="334"/>
      <c r="B1043" s="610"/>
      <c r="C1043" s="365"/>
      <c r="D1043" s="364"/>
      <c r="E1043" s="363"/>
      <c r="F1043" s="363"/>
      <c r="G1043" s="364"/>
      <c r="H1043" s="363"/>
      <c r="I1043" s="363"/>
      <c r="J1043" s="364"/>
      <c r="K1043" s="363"/>
      <c r="L1043" s="363"/>
      <c r="M1043" s="737"/>
      <c r="N1043" s="332"/>
      <c r="O1043" s="332"/>
      <c r="P1043" s="332"/>
      <c r="Q1043" s="332"/>
      <c r="R1043" s="332"/>
      <c r="S1043" s="332"/>
      <c r="T1043" s="332"/>
    </row>
    <row r="1044" spans="1:20" x14ac:dyDescent="0.6">
      <c r="A1044" s="334"/>
      <c r="B1044" s="610"/>
      <c r="C1044" s="365"/>
      <c r="D1044" s="364"/>
      <c r="E1044" s="363"/>
      <c r="F1044" s="363"/>
      <c r="G1044" s="364"/>
      <c r="H1044" s="363"/>
      <c r="I1044" s="363"/>
      <c r="J1044" s="364"/>
      <c r="K1044" s="363"/>
      <c r="L1044" s="363"/>
      <c r="M1044" s="737"/>
      <c r="N1044" s="332"/>
      <c r="O1044" s="332"/>
      <c r="P1044" s="332"/>
      <c r="Q1044" s="332"/>
      <c r="R1044" s="332"/>
      <c r="S1044" s="332"/>
      <c r="T1044" s="332"/>
    </row>
    <row r="1045" spans="1:20" x14ac:dyDescent="0.6">
      <c r="A1045" s="334"/>
      <c r="B1045" s="610"/>
      <c r="C1045" s="365"/>
      <c r="D1045" s="364"/>
      <c r="E1045" s="363"/>
      <c r="F1045" s="363"/>
      <c r="G1045" s="364"/>
      <c r="H1045" s="363"/>
      <c r="I1045" s="363"/>
      <c r="J1045" s="364"/>
      <c r="K1045" s="363"/>
      <c r="L1045" s="363"/>
      <c r="M1045" s="737"/>
      <c r="N1045" s="332"/>
      <c r="O1045" s="332"/>
      <c r="P1045" s="332"/>
      <c r="Q1045" s="332"/>
      <c r="R1045" s="332"/>
      <c r="S1045" s="332"/>
      <c r="T1045" s="332"/>
    </row>
    <row r="1046" spans="1:20" x14ac:dyDescent="0.6">
      <c r="A1046" s="334"/>
      <c r="B1046" s="610"/>
      <c r="C1046" s="365"/>
      <c r="D1046" s="364"/>
      <c r="E1046" s="363"/>
      <c r="F1046" s="363"/>
      <c r="G1046" s="364"/>
      <c r="H1046" s="363"/>
      <c r="I1046" s="363"/>
      <c r="J1046" s="364"/>
      <c r="K1046" s="363"/>
      <c r="L1046" s="363"/>
      <c r="M1046" s="737"/>
      <c r="N1046" s="332"/>
      <c r="O1046" s="332"/>
      <c r="P1046" s="332"/>
      <c r="Q1046" s="332"/>
      <c r="R1046" s="332"/>
      <c r="S1046" s="332"/>
      <c r="T1046" s="332"/>
    </row>
    <row r="1047" spans="1:20" x14ac:dyDescent="0.6">
      <c r="A1047" s="334"/>
      <c r="B1047" s="610"/>
      <c r="C1047" s="365"/>
      <c r="D1047" s="364"/>
      <c r="E1047" s="363"/>
      <c r="F1047" s="363"/>
      <c r="G1047" s="364"/>
      <c r="H1047" s="363"/>
      <c r="I1047" s="363"/>
      <c r="J1047" s="364"/>
      <c r="K1047" s="363"/>
      <c r="L1047" s="363"/>
      <c r="M1047" s="737"/>
      <c r="N1047" s="332"/>
      <c r="O1047" s="332"/>
      <c r="P1047" s="332"/>
      <c r="Q1047" s="332"/>
      <c r="R1047" s="332"/>
      <c r="S1047" s="332"/>
      <c r="T1047" s="332"/>
    </row>
    <row r="1048" spans="1:20" x14ac:dyDescent="0.6">
      <c r="A1048" s="334"/>
      <c r="B1048" s="610"/>
      <c r="C1048" s="365"/>
      <c r="D1048" s="364"/>
      <c r="E1048" s="363"/>
      <c r="F1048" s="363"/>
      <c r="G1048" s="364"/>
      <c r="H1048" s="363"/>
      <c r="I1048" s="363"/>
      <c r="J1048" s="364"/>
      <c r="K1048" s="363"/>
      <c r="L1048" s="363"/>
      <c r="M1048" s="737"/>
      <c r="N1048" s="332"/>
      <c r="O1048" s="332"/>
      <c r="P1048" s="332"/>
      <c r="Q1048" s="332"/>
      <c r="R1048" s="332"/>
      <c r="S1048" s="332"/>
      <c r="T1048" s="332"/>
    </row>
    <row r="1049" spans="1:20" x14ac:dyDescent="0.6">
      <c r="A1049" s="334"/>
      <c r="B1049" s="610"/>
      <c r="C1049" s="365"/>
      <c r="D1049" s="364"/>
      <c r="E1049" s="363"/>
      <c r="F1049" s="363"/>
      <c r="G1049" s="364"/>
      <c r="H1049" s="363"/>
      <c r="I1049" s="363"/>
      <c r="J1049" s="364"/>
      <c r="K1049" s="363"/>
      <c r="L1049" s="363"/>
      <c r="M1049" s="737"/>
      <c r="N1049" s="332"/>
      <c r="O1049" s="332"/>
      <c r="P1049" s="332"/>
      <c r="Q1049" s="332"/>
      <c r="R1049" s="332"/>
      <c r="S1049" s="332"/>
      <c r="T1049" s="332"/>
    </row>
    <row r="1050" spans="1:20" x14ac:dyDescent="0.6">
      <c r="A1050" s="334"/>
      <c r="B1050" s="610"/>
      <c r="C1050" s="365"/>
      <c r="D1050" s="364"/>
      <c r="E1050" s="363"/>
      <c r="F1050" s="363"/>
      <c r="G1050" s="364"/>
      <c r="H1050" s="363"/>
      <c r="I1050" s="363"/>
      <c r="J1050" s="364"/>
      <c r="K1050" s="363"/>
      <c r="L1050" s="363"/>
      <c r="M1050" s="737"/>
      <c r="N1050" s="332"/>
      <c r="O1050" s="332"/>
      <c r="P1050" s="332"/>
      <c r="Q1050" s="332"/>
      <c r="R1050" s="332"/>
      <c r="S1050" s="332"/>
      <c r="T1050" s="332"/>
    </row>
    <row r="1051" spans="1:20" x14ac:dyDescent="0.6">
      <c r="A1051" s="334"/>
      <c r="B1051" s="610"/>
      <c r="C1051" s="365"/>
      <c r="D1051" s="364"/>
      <c r="E1051" s="363"/>
      <c r="F1051" s="363"/>
      <c r="G1051" s="364"/>
      <c r="H1051" s="363"/>
      <c r="I1051" s="363"/>
      <c r="J1051" s="364"/>
      <c r="K1051" s="363"/>
      <c r="L1051" s="363"/>
      <c r="M1051" s="737"/>
      <c r="N1051" s="332"/>
      <c r="O1051" s="332"/>
      <c r="P1051" s="332"/>
      <c r="Q1051" s="332"/>
      <c r="R1051" s="332"/>
      <c r="S1051" s="332"/>
      <c r="T1051" s="332"/>
    </row>
    <row r="1052" spans="1:20" x14ac:dyDescent="0.6">
      <c r="A1052" s="334"/>
      <c r="B1052" s="610"/>
      <c r="C1052" s="365"/>
      <c r="D1052" s="364"/>
      <c r="E1052" s="363"/>
      <c r="F1052" s="363"/>
      <c r="G1052" s="364"/>
      <c r="H1052" s="363"/>
      <c r="I1052" s="363"/>
      <c r="J1052" s="364"/>
      <c r="K1052" s="363"/>
      <c r="L1052" s="363"/>
      <c r="M1052" s="737"/>
      <c r="N1052" s="332"/>
      <c r="O1052" s="332"/>
      <c r="P1052" s="332"/>
      <c r="Q1052" s="332"/>
      <c r="R1052" s="332"/>
      <c r="S1052" s="332"/>
      <c r="T1052" s="332"/>
    </row>
    <row r="1053" spans="1:20" x14ac:dyDescent="0.6">
      <c r="A1053" s="334"/>
      <c r="B1053" s="610"/>
      <c r="C1053" s="365"/>
      <c r="D1053" s="364"/>
      <c r="E1053" s="363"/>
      <c r="F1053" s="363"/>
      <c r="G1053" s="364"/>
      <c r="H1053" s="363"/>
      <c r="I1053" s="363"/>
      <c r="J1053" s="364"/>
      <c r="K1053" s="363"/>
      <c r="L1053" s="363"/>
      <c r="M1053" s="737"/>
      <c r="N1053" s="332"/>
      <c r="O1053" s="332"/>
      <c r="P1053" s="332"/>
      <c r="Q1053" s="332"/>
      <c r="R1053" s="332"/>
      <c r="S1053" s="332"/>
      <c r="T1053" s="332"/>
    </row>
    <row r="1054" spans="1:20" x14ac:dyDescent="0.6">
      <c r="A1054" s="334"/>
      <c r="B1054" s="610"/>
      <c r="C1054" s="365"/>
      <c r="D1054" s="364"/>
      <c r="E1054" s="363"/>
      <c r="F1054" s="363"/>
      <c r="G1054" s="364"/>
      <c r="H1054" s="363"/>
      <c r="I1054" s="363"/>
      <c r="J1054" s="364"/>
      <c r="K1054" s="363"/>
      <c r="L1054" s="363"/>
      <c r="M1054" s="737"/>
      <c r="N1054" s="332"/>
      <c r="O1054" s="332"/>
      <c r="P1054" s="332"/>
      <c r="Q1054" s="332"/>
      <c r="R1054" s="332"/>
      <c r="S1054" s="332"/>
      <c r="T1054" s="332"/>
    </row>
    <row r="1055" spans="1:20" x14ac:dyDescent="0.6">
      <c r="A1055" s="334"/>
      <c r="B1055" s="610"/>
      <c r="C1055" s="365"/>
      <c r="D1055" s="364"/>
      <c r="E1055" s="363"/>
      <c r="F1055" s="363"/>
      <c r="G1055" s="364"/>
      <c r="H1055" s="363"/>
      <c r="I1055" s="363"/>
      <c r="J1055" s="364"/>
      <c r="K1055" s="363"/>
      <c r="L1055" s="363"/>
      <c r="M1055" s="737"/>
      <c r="N1055" s="332"/>
      <c r="O1055" s="332"/>
      <c r="P1055" s="332"/>
      <c r="Q1055" s="332"/>
      <c r="R1055" s="332"/>
      <c r="S1055" s="332"/>
      <c r="T1055" s="332"/>
    </row>
    <row r="1056" spans="1:20" x14ac:dyDescent="0.6">
      <c r="A1056" s="334"/>
      <c r="B1056" s="610"/>
      <c r="C1056" s="365"/>
      <c r="D1056" s="364"/>
      <c r="E1056" s="363"/>
      <c r="F1056" s="363"/>
      <c r="G1056" s="364"/>
      <c r="H1056" s="363"/>
      <c r="I1056" s="363"/>
      <c r="J1056" s="364"/>
      <c r="K1056" s="363"/>
      <c r="L1056" s="363"/>
      <c r="M1056" s="737"/>
      <c r="N1056" s="332"/>
      <c r="O1056" s="332"/>
      <c r="P1056" s="332"/>
      <c r="Q1056" s="332"/>
      <c r="R1056" s="332"/>
      <c r="S1056" s="332"/>
      <c r="T1056" s="332"/>
    </row>
    <row r="1057" spans="1:20" x14ac:dyDescent="0.6">
      <c r="A1057" s="334"/>
      <c r="B1057" s="610"/>
      <c r="C1057" s="365"/>
      <c r="D1057" s="364"/>
      <c r="E1057" s="363"/>
      <c r="F1057" s="363"/>
      <c r="G1057" s="364"/>
      <c r="H1057" s="363"/>
      <c r="I1057" s="363"/>
      <c r="J1057" s="364"/>
      <c r="K1057" s="363"/>
      <c r="L1057" s="363"/>
      <c r="M1057" s="737"/>
      <c r="N1057" s="332"/>
      <c r="O1057" s="332"/>
      <c r="P1057" s="332"/>
      <c r="Q1057" s="332"/>
      <c r="R1057" s="332"/>
      <c r="S1057" s="332"/>
      <c r="T1057" s="332"/>
    </row>
    <row r="1058" spans="1:20" x14ac:dyDescent="0.6">
      <c r="A1058" s="334"/>
      <c r="B1058" s="610"/>
      <c r="C1058" s="365"/>
      <c r="D1058" s="364"/>
      <c r="E1058" s="363"/>
      <c r="F1058" s="363"/>
      <c r="G1058" s="364"/>
      <c r="H1058" s="363"/>
      <c r="I1058" s="363"/>
      <c r="J1058" s="364"/>
      <c r="K1058" s="363"/>
      <c r="L1058" s="363"/>
      <c r="M1058" s="737"/>
      <c r="N1058" s="332"/>
      <c r="O1058" s="332"/>
      <c r="P1058" s="332"/>
      <c r="Q1058" s="332"/>
      <c r="R1058" s="332"/>
      <c r="S1058" s="332"/>
      <c r="T1058" s="332"/>
    </row>
    <row r="1059" spans="1:20" x14ac:dyDescent="0.6">
      <c r="A1059" s="334"/>
      <c r="B1059" s="610"/>
      <c r="C1059" s="365"/>
      <c r="D1059" s="364"/>
      <c r="E1059" s="363"/>
      <c r="F1059" s="363"/>
      <c r="G1059" s="364"/>
      <c r="H1059" s="363"/>
      <c r="I1059" s="363"/>
      <c r="J1059" s="364"/>
      <c r="K1059" s="363"/>
      <c r="L1059" s="363"/>
      <c r="M1059" s="737"/>
      <c r="N1059" s="332"/>
      <c r="O1059" s="332"/>
      <c r="P1059" s="332"/>
      <c r="Q1059" s="332"/>
      <c r="R1059" s="332"/>
      <c r="S1059" s="332"/>
      <c r="T1059" s="332"/>
    </row>
    <row r="1060" spans="1:20" x14ac:dyDescent="0.6">
      <c r="A1060" s="334"/>
      <c r="B1060" s="610"/>
      <c r="C1060" s="365"/>
      <c r="D1060" s="364"/>
      <c r="E1060" s="363"/>
      <c r="F1060" s="363"/>
      <c r="G1060" s="364"/>
      <c r="H1060" s="363"/>
      <c r="I1060" s="363"/>
      <c r="J1060" s="364"/>
      <c r="K1060" s="363"/>
      <c r="L1060" s="363"/>
      <c r="M1060" s="737"/>
      <c r="N1060" s="332"/>
      <c r="O1060" s="332"/>
      <c r="P1060" s="332"/>
      <c r="Q1060" s="332"/>
      <c r="R1060" s="332"/>
      <c r="S1060" s="332"/>
      <c r="T1060" s="332"/>
    </row>
    <row r="1061" spans="1:20" x14ac:dyDescent="0.6">
      <c r="A1061" s="334"/>
      <c r="B1061" s="610"/>
      <c r="C1061" s="365"/>
      <c r="D1061" s="364"/>
      <c r="E1061" s="363"/>
      <c r="F1061" s="363"/>
      <c r="G1061" s="364"/>
      <c r="H1061" s="363"/>
      <c r="I1061" s="363"/>
      <c r="J1061" s="364"/>
      <c r="K1061" s="363"/>
      <c r="L1061" s="363"/>
      <c r="M1061" s="737"/>
      <c r="N1061" s="332"/>
      <c r="O1061" s="332"/>
      <c r="P1061" s="332"/>
      <c r="Q1061" s="332"/>
      <c r="R1061" s="332"/>
      <c r="S1061" s="332"/>
      <c r="T1061" s="332"/>
    </row>
    <row r="1062" spans="1:20" x14ac:dyDescent="0.6">
      <c r="A1062" s="334"/>
      <c r="B1062" s="610"/>
      <c r="C1062" s="365"/>
      <c r="D1062" s="364"/>
      <c r="E1062" s="363"/>
      <c r="F1062" s="363"/>
      <c r="G1062" s="364"/>
      <c r="H1062" s="363"/>
      <c r="I1062" s="363"/>
      <c r="J1062" s="364"/>
      <c r="K1062" s="363"/>
      <c r="L1062" s="363"/>
      <c r="M1062" s="737"/>
      <c r="N1062" s="332"/>
      <c r="O1062" s="332"/>
      <c r="P1062" s="332"/>
      <c r="Q1062" s="332"/>
      <c r="R1062" s="332"/>
      <c r="S1062" s="332"/>
      <c r="T1062" s="332"/>
    </row>
    <row r="1063" spans="1:20" x14ac:dyDescent="0.6">
      <c r="A1063" s="334"/>
      <c r="B1063" s="610"/>
      <c r="C1063" s="365"/>
      <c r="D1063" s="364"/>
      <c r="E1063" s="363"/>
      <c r="F1063" s="363"/>
      <c r="G1063" s="364"/>
      <c r="H1063" s="363"/>
      <c r="I1063" s="363"/>
      <c r="J1063" s="364"/>
      <c r="K1063" s="363"/>
      <c r="L1063" s="363"/>
      <c r="M1063" s="737"/>
      <c r="N1063" s="332"/>
      <c r="O1063" s="332"/>
      <c r="P1063" s="332"/>
      <c r="Q1063" s="332"/>
      <c r="R1063" s="332"/>
      <c r="S1063" s="332"/>
      <c r="T1063" s="332"/>
    </row>
    <row r="1064" spans="1:20" x14ac:dyDescent="0.6">
      <c r="A1064" s="334"/>
      <c r="B1064" s="610"/>
      <c r="C1064" s="365"/>
      <c r="D1064" s="364"/>
      <c r="E1064" s="363"/>
      <c r="F1064" s="363"/>
      <c r="G1064" s="364"/>
      <c r="H1064" s="363"/>
      <c r="I1064" s="363"/>
      <c r="J1064" s="364"/>
      <c r="K1064" s="363"/>
      <c r="L1064" s="363"/>
      <c r="M1064" s="737"/>
      <c r="N1064" s="332"/>
      <c r="O1064" s="332"/>
      <c r="P1064" s="332"/>
      <c r="Q1064" s="332"/>
      <c r="R1064" s="332"/>
      <c r="S1064" s="332"/>
      <c r="T1064" s="332"/>
    </row>
    <row r="1065" spans="1:20" x14ac:dyDescent="0.6">
      <c r="A1065" s="334"/>
      <c r="B1065" s="610"/>
      <c r="C1065" s="365"/>
      <c r="D1065" s="364"/>
      <c r="E1065" s="363"/>
      <c r="F1065" s="363"/>
      <c r="G1065" s="364"/>
      <c r="H1065" s="363"/>
      <c r="I1065" s="363"/>
      <c r="J1065" s="364"/>
      <c r="K1065" s="363"/>
      <c r="L1065" s="363"/>
      <c r="M1065" s="737"/>
      <c r="N1065" s="332"/>
      <c r="O1065" s="332"/>
      <c r="P1065" s="332"/>
      <c r="Q1065" s="332"/>
      <c r="R1065" s="332"/>
      <c r="S1065" s="332"/>
      <c r="T1065" s="332"/>
    </row>
    <row r="1066" spans="1:20" x14ac:dyDescent="0.6">
      <c r="A1066" s="334"/>
      <c r="B1066" s="610"/>
      <c r="C1066" s="365"/>
      <c r="D1066" s="364"/>
      <c r="E1066" s="363"/>
      <c r="F1066" s="363"/>
      <c r="G1066" s="364"/>
      <c r="H1066" s="363"/>
      <c r="I1066" s="363"/>
      <c r="J1066" s="364"/>
      <c r="K1066" s="363"/>
      <c r="L1066" s="363"/>
      <c r="M1066" s="737"/>
      <c r="N1066" s="332"/>
      <c r="O1066" s="332"/>
      <c r="P1066" s="332"/>
      <c r="Q1066" s="332"/>
      <c r="R1066" s="332"/>
      <c r="S1066" s="332"/>
      <c r="T1066" s="332"/>
    </row>
    <row r="1067" spans="1:20" x14ac:dyDescent="0.6">
      <c r="A1067" s="334"/>
      <c r="B1067" s="610"/>
      <c r="C1067" s="365"/>
      <c r="D1067" s="364"/>
      <c r="E1067" s="363"/>
      <c r="F1067" s="363"/>
      <c r="G1067" s="364"/>
      <c r="H1067" s="363"/>
      <c r="I1067" s="363"/>
      <c r="J1067" s="364"/>
      <c r="K1067" s="363"/>
      <c r="L1067" s="363"/>
      <c r="M1067" s="737"/>
      <c r="N1067" s="332"/>
      <c r="O1067" s="332"/>
      <c r="P1067" s="332"/>
      <c r="Q1067" s="332"/>
      <c r="R1067" s="332"/>
      <c r="S1067" s="332"/>
      <c r="T1067" s="332"/>
    </row>
    <row r="1068" spans="1:20" x14ac:dyDescent="0.6">
      <c r="A1068" s="334"/>
      <c r="B1068" s="610"/>
      <c r="C1068" s="365"/>
      <c r="D1068" s="364"/>
      <c r="E1068" s="363"/>
      <c r="F1068" s="363"/>
      <c r="G1068" s="364"/>
      <c r="H1068" s="363"/>
      <c r="I1068" s="363"/>
      <c r="J1068" s="364"/>
      <c r="K1068" s="363"/>
      <c r="L1068" s="363"/>
      <c r="M1068" s="737"/>
      <c r="N1068" s="332"/>
      <c r="O1068" s="332"/>
      <c r="P1068" s="332"/>
      <c r="Q1068" s="332"/>
      <c r="R1068" s="332"/>
      <c r="S1068" s="332"/>
      <c r="T1068" s="332"/>
    </row>
    <row r="1069" spans="1:20" x14ac:dyDescent="0.6">
      <c r="A1069" s="334"/>
      <c r="B1069" s="610"/>
      <c r="C1069" s="365"/>
      <c r="D1069" s="364"/>
      <c r="E1069" s="363"/>
      <c r="F1069" s="363"/>
      <c r="G1069" s="364"/>
      <c r="H1069" s="363"/>
      <c r="I1069" s="363"/>
      <c r="J1069" s="364"/>
      <c r="K1069" s="363"/>
      <c r="L1069" s="363"/>
      <c r="M1069" s="737"/>
      <c r="N1069" s="332"/>
      <c r="O1069" s="332"/>
      <c r="P1069" s="332"/>
      <c r="Q1069" s="332"/>
      <c r="R1069" s="332"/>
      <c r="S1069" s="332"/>
      <c r="T1069" s="332"/>
    </row>
    <row r="1070" spans="1:20" x14ac:dyDescent="0.6">
      <c r="A1070" s="334"/>
      <c r="B1070" s="610"/>
      <c r="C1070" s="365"/>
      <c r="D1070" s="364"/>
      <c r="E1070" s="363"/>
      <c r="F1070" s="363"/>
      <c r="G1070" s="364"/>
      <c r="H1070" s="363"/>
      <c r="I1070" s="363"/>
      <c r="J1070" s="364"/>
      <c r="K1070" s="363"/>
      <c r="L1070" s="363"/>
      <c r="M1070" s="737"/>
      <c r="N1070" s="332"/>
      <c r="O1070" s="332"/>
      <c r="P1070" s="332"/>
      <c r="Q1070" s="332"/>
      <c r="R1070" s="332"/>
      <c r="S1070" s="332"/>
      <c r="T1070" s="332"/>
    </row>
    <row r="1071" spans="1:20" x14ac:dyDescent="0.6">
      <c r="A1071" s="334"/>
      <c r="B1071" s="610"/>
      <c r="C1071" s="365"/>
      <c r="D1071" s="364"/>
      <c r="E1071" s="363"/>
      <c r="F1071" s="363"/>
      <c r="G1071" s="364"/>
      <c r="H1071" s="363"/>
      <c r="I1071" s="363"/>
      <c r="J1071" s="364"/>
      <c r="K1071" s="363"/>
      <c r="L1071" s="363"/>
      <c r="M1071" s="737"/>
      <c r="N1071" s="332"/>
      <c r="O1071" s="332"/>
      <c r="P1071" s="332"/>
      <c r="Q1071" s="332"/>
      <c r="R1071" s="332"/>
      <c r="S1071" s="332"/>
      <c r="T1071" s="332"/>
    </row>
    <row r="1072" spans="1:20" x14ac:dyDescent="0.6">
      <c r="A1072" s="334"/>
      <c r="B1072" s="610"/>
      <c r="C1072" s="365"/>
      <c r="D1072" s="364"/>
      <c r="E1072" s="363"/>
      <c r="F1072" s="363"/>
      <c r="G1072" s="364"/>
      <c r="H1072" s="363"/>
      <c r="I1072" s="363"/>
      <c r="J1072" s="364"/>
      <c r="K1072" s="363"/>
      <c r="L1072" s="363"/>
      <c r="M1072" s="737"/>
      <c r="N1072" s="332"/>
      <c r="O1072" s="332"/>
      <c r="P1072" s="332"/>
      <c r="Q1072" s="332"/>
      <c r="R1072" s="332"/>
      <c r="S1072" s="332"/>
      <c r="T1072" s="332"/>
    </row>
    <row r="1073" spans="1:20" x14ac:dyDescent="0.6">
      <c r="A1073" s="334"/>
      <c r="B1073" s="610"/>
      <c r="C1073" s="365"/>
      <c r="D1073" s="364"/>
      <c r="E1073" s="363"/>
      <c r="F1073" s="363"/>
      <c r="G1073" s="364"/>
      <c r="H1073" s="363"/>
      <c r="I1073" s="363"/>
      <c r="J1073" s="364"/>
      <c r="K1073" s="363"/>
      <c r="L1073" s="363"/>
      <c r="M1073" s="737"/>
      <c r="N1073" s="332"/>
      <c r="O1073" s="332"/>
      <c r="P1073" s="332"/>
      <c r="Q1073" s="332"/>
      <c r="R1073" s="332"/>
      <c r="S1073" s="332"/>
      <c r="T1073" s="332"/>
    </row>
    <row r="1074" spans="1:20" x14ac:dyDescent="0.6">
      <c r="A1074" s="334"/>
      <c r="B1074" s="610"/>
      <c r="C1074" s="365"/>
      <c r="D1074" s="364"/>
      <c r="E1074" s="363"/>
      <c r="F1074" s="363"/>
      <c r="G1074" s="364"/>
      <c r="H1074" s="363"/>
      <c r="I1074" s="363"/>
      <c r="J1074" s="364"/>
      <c r="K1074" s="363"/>
      <c r="L1074" s="363"/>
      <c r="M1074" s="737"/>
      <c r="N1074" s="332"/>
      <c r="O1074" s="332"/>
      <c r="P1074" s="332"/>
      <c r="Q1074" s="332"/>
      <c r="R1074" s="332"/>
      <c r="S1074" s="332"/>
      <c r="T1074" s="332"/>
    </row>
    <row r="1075" spans="1:20" x14ac:dyDescent="0.6">
      <c r="A1075" s="334"/>
      <c r="B1075" s="610"/>
      <c r="C1075" s="365"/>
      <c r="D1075" s="364"/>
      <c r="E1075" s="363"/>
      <c r="F1075" s="363"/>
      <c r="G1075" s="364"/>
      <c r="H1075" s="363"/>
      <c r="I1075" s="363"/>
      <c r="J1075" s="364"/>
      <c r="K1075" s="363"/>
      <c r="L1075" s="363"/>
      <c r="M1075" s="737"/>
      <c r="N1075" s="332"/>
      <c r="O1075" s="332"/>
      <c r="P1075" s="332"/>
      <c r="Q1075" s="332"/>
      <c r="R1075" s="332"/>
      <c r="S1075" s="332"/>
      <c r="T1075" s="332"/>
    </row>
    <row r="1076" spans="1:20" x14ac:dyDescent="0.6">
      <c r="A1076" s="334"/>
      <c r="B1076" s="610"/>
      <c r="C1076" s="365"/>
      <c r="D1076" s="364"/>
      <c r="E1076" s="363"/>
      <c r="F1076" s="363"/>
      <c r="G1076" s="364"/>
      <c r="H1076" s="363"/>
      <c r="I1076" s="363"/>
      <c r="J1076" s="364"/>
      <c r="K1076" s="363"/>
      <c r="L1076" s="363"/>
      <c r="M1076" s="737"/>
      <c r="N1076" s="332"/>
      <c r="O1076" s="332"/>
      <c r="P1076" s="332"/>
      <c r="Q1076" s="332"/>
      <c r="R1076" s="332"/>
      <c r="S1076" s="332"/>
      <c r="T1076" s="332"/>
    </row>
    <row r="1077" spans="1:20" x14ac:dyDescent="0.6">
      <c r="A1077" s="334"/>
      <c r="B1077" s="610"/>
      <c r="C1077" s="365"/>
      <c r="D1077" s="364"/>
      <c r="E1077" s="363"/>
      <c r="F1077" s="363"/>
      <c r="G1077" s="364"/>
      <c r="H1077" s="363"/>
      <c r="I1077" s="363"/>
      <c r="J1077" s="364"/>
      <c r="K1077" s="363"/>
      <c r="L1077" s="363"/>
      <c r="M1077" s="737"/>
      <c r="N1077" s="332"/>
      <c r="O1077" s="332"/>
      <c r="P1077" s="332"/>
      <c r="Q1077" s="332"/>
      <c r="R1077" s="332"/>
      <c r="S1077" s="332"/>
      <c r="T1077" s="332"/>
    </row>
    <row r="1078" spans="1:20" x14ac:dyDescent="0.6">
      <c r="A1078" s="334"/>
      <c r="B1078" s="610"/>
      <c r="C1078" s="365"/>
      <c r="D1078" s="364"/>
      <c r="E1078" s="363"/>
      <c r="F1078" s="363"/>
      <c r="G1078" s="364"/>
      <c r="H1078" s="363"/>
      <c r="I1078" s="363"/>
      <c r="J1078" s="364"/>
      <c r="K1078" s="363"/>
      <c r="L1078" s="363"/>
      <c r="M1078" s="737"/>
      <c r="N1078" s="332"/>
      <c r="O1078" s="332"/>
      <c r="P1078" s="332"/>
      <c r="Q1078" s="332"/>
      <c r="R1078" s="332"/>
      <c r="S1078" s="332"/>
      <c r="T1078" s="332"/>
    </row>
    <row r="1079" spans="1:20" x14ac:dyDescent="0.6">
      <c r="A1079" s="334"/>
      <c r="B1079" s="610"/>
      <c r="C1079" s="365"/>
      <c r="D1079" s="364"/>
      <c r="E1079" s="363"/>
      <c r="F1079" s="363"/>
      <c r="G1079" s="364"/>
      <c r="H1079" s="363"/>
      <c r="I1079" s="363"/>
      <c r="J1079" s="364"/>
      <c r="K1079" s="363"/>
      <c r="L1079" s="363"/>
      <c r="M1079" s="737"/>
      <c r="N1079" s="332"/>
      <c r="O1079" s="332"/>
      <c r="P1079" s="332"/>
      <c r="Q1079" s="332"/>
      <c r="R1079" s="332"/>
      <c r="S1079" s="332"/>
      <c r="T1079" s="332"/>
    </row>
    <row r="1080" spans="1:20" x14ac:dyDescent="0.6">
      <c r="A1080" s="334"/>
      <c r="B1080" s="610"/>
      <c r="C1080" s="365"/>
      <c r="D1080" s="364"/>
      <c r="E1080" s="363"/>
      <c r="F1080" s="363"/>
      <c r="G1080" s="364"/>
      <c r="H1080" s="363"/>
      <c r="I1080" s="363"/>
      <c r="J1080" s="364"/>
      <c r="K1080" s="363"/>
      <c r="L1080" s="363"/>
      <c r="M1080" s="737"/>
      <c r="N1080" s="332"/>
      <c r="O1080" s="332"/>
      <c r="P1080" s="332"/>
      <c r="Q1080" s="332"/>
      <c r="R1080" s="332"/>
      <c r="S1080" s="332"/>
      <c r="T1080" s="332"/>
    </row>
    <row r="1081" spans="1:20" x14ac:dyDescent="0.6">
      <c r="A1081" s="334"/>
      <c r="B1081" s="610"/>
      <c r="C1081" s="365"/>
      <c r="D1081" s="364"/>
      <c r="E1081" s="363"/>
      <c r="F1081" s="363"/>
      <c r="G1081" s="364"/>
      <c r="H1081" s="363"/>
      <c r="I1081" s="363"/>
      <c r="J1081" s="364"/>
      <c r="K1081" s="363"/>
      <c r="L1081" s="363"/>
      <c r="M1081" s="737"/>
      <c r="N1081" s="332"/>
      <c r="O1081" s="332"/>
      <c r="P1081" s="332"/>
      <c r="Q1081" s="332"/>
      <c r="R1081" s="332"/>
      <c r="S1081" s="332"/>
      <c r="T1081" s="332"/>
    </row>
    <row r="1082" spans="1:20" x14ac:dyDescent="0.6">
      <c r="A1082" s="334"/>
      <c r="B1082" s="610"/>
      <c r="C1082" s="365"/>
      <c r="D1082" s="364"/>
      <c r="E1082" s="363"/>
      <c r="F1082" s="363"/>
      <c r="G1082" s="364"/>
      <c r="H1082" s="363"/>
      <c r="I1082" s="363"/>
      <c r="J1082" s="364"/>
      <c r="K1082" s="363"/>
      <c r="L1082" s="363"/>
      <c r="M1082" s="737"/>
      <c r="N1082" s="332"/>
      <c r="O1082" s="332"/>
      <c r="P1082" s="332"/>
      <c r="Q1082" s="332"/>
      <c r="R1082" s="332"/>
      <c r="S1082" s="332"/>
      <c r="T1082" s="332"/>
    </row>
    <row r="1083" spans="1:20" x14ac:dyDescent="0.6">
      <c r="A1083" s="334"/>
      <c r="B1083" s="610"/>
      <c r="C1083" s="365"/>
      <c r="D1083" s="364"/>
      <c r="E1083" s="363"/>
      <c r="F1083" s="363"/>
      <c r="G1083" s="364"/>
      <c r="H1083" s="363"/>
      <c r="I1083" s="363"/>
      <c r="J1083" s="364"/>
      <c r="K1083" s="363"/>
      <c r="L1083" s="363"/>
      <c r="M1083" s="737"/>
      <c r="N1083" s="332"/>
      <c r="O1083" s="332"/>
      <c r="P1083" s="332"/>
      <c r="Q1083" s="332"/>
      <c r="R1083" s="332"/>
      <c r="S1083" s="332"/>
      <c r="T1083" s="332"/>
    </row>
    <row r="1084" spans="1:20" x14ac:dyDescent="0.6">
      <c r="A1084" s="334"/>
      <c r="B1084" s="610"/>
      <c r="C1084" s="365"/>
      <c r="D1084" s="364"/>
      <c r="E1084" s="363"/>
      <c r="F1084" s="363"/>
      <c r="G1084" s="364"/>
      <c r="H1084" s="363"/>
      <c r="I1084" s="363"/>
      <c r="J1084" s="364"/>
      <c r="K1084" s="363"/>
      <c r="L1084" s="363"/>
      <c r="M1084" s="737"/>
      <c r="N1084" s="332"/>
      <c r="O1084" s="332"/>
      <c r="P1084" s="332"/>
      <c r="Q1084" s="332"/>
      <c r="R1084" s="332"/>
      <c r="S1084" s="332"/>
      <c r="T1084" s="332"/>
    </row>
    <row r="1085" spans="1:20" x14ac:dyDescent="0.6">
      <c r="A1085" s="334"/>
      <c r="B1085" s="610"/>
      <c r="C1085" s="365"/>
      <c r="D1085" s="364"/>
      <c r="E1085" s="363"/>
      <c r="F1085" s="363"/>
      <c r="G1085" s="364"/>
      <c r="H1085" s="363"/>
      <c r="I1085" s="363"/>
      <c r="J1085" s="364"/>
      <c r="K1085" s="363"/>
      <c r="L1085" s="363"/>
      <c r="M1085" s="737"/>
      <c r="N1085" s="332"/>
      <c r="O1085" s="332"/>
      <c r="P1085" s="332"/>
      <c r="Q1085" s="332"/>
      <c r="R1085" s="332"/>
      <c r="S1085" s="332"/>
      <c r="T1085" s="332"/>
    </row>
    <row r="1086" spans="1:20" x14ac:dyDescent="0.6">
      <c r="A1086" s="334"/>
      <c r="B1086" s="610"/>
      <c r="C1086" s="365"/>
      <c r="D1086" s="364"/>
      <c r="E1086" s="363"/>
      <c r="F1086" s="363"/>
      <c r="G1086" s="364"/>
      <c r="H1086" s="363"/>
      <c r="I1086" s="363"/>
      <c r="J1086" s="364"/>
      <c r="K1086" s="363"/>
      <c r="L1086" s="363"/>
      <c r="M1086" s="737"/>
      <c r="N1086" s="332"/>
      <c r="O1086" s="332"/>
      <c r="P1086" s="332"/>
      <c r="Q1086" s="332"/>
      <c r="R1086" s="332"/>
      <c r="S1086" s="332"/>
      <c r="T1086" s="332"/>
    </row>
    <row r="1087" spans="1:20" x14ac:dyDescent="0.6">
      <c r="A1087" s="334"/>
      <c r="B1087" s="610"/>
      <c r="C1087" s="365"/>
      <c r="D1087" s="364"/>
      <c r="E1087" s="363"/>
      <c r="F1087" s="363"/>
      <c r="G1087" s="364"/>
      <c r="H1087" s="363"/>
      <c r="I1087" s="363"/>
      <c r="J1087" s="364"/>
      <c r="K1087" s="363"/>
      <c r="L1087" s="363"/>
      <c r="M1087" s="737"/>
      <c r="N1087" s="332"/>
      <c r="O1087" s="332"/>
      <c r="P1087" s="332"/>
      <c r="Q1087" s="332"/>
      <c r="R1087" s="332"/>
      <c r="S1087" s="332"/>
      <c r="T1087" s="332"/>
    </row>
    <row r="1088" spans="1:20" x14ac:dyDescent="0.6">
      <c r="A1088" s="334"/>
      <c r="B1088" s="610"/>
      <c r="C1088" s="365"/>
      <c r="D1088" s="364"/>
      <c r="E1088" s="363"/>
      <c r="F1088" s="363"/>
      <c r="G1088" s="364"/>
      <c r="H1088" s="363"/>
      <c r="I1088" s="363"/>
      <c r="J1088" s="364"/>
      <c r="K1088" s="363"/>
      <c r="L1088" s="363"/>
      <c r="M1088" s="737"/>
      <c r="N1088" s="332"/>
      <c r="O1088" s="332"/>
      <c r="P1088" s="332"/>
      <c r="Q1088" s="332"/>
      <c r="R1088" s="332"/>
      <c r="S1088" s="332"/>
      <c r="T1088" s="332"/>
    </row>
    <row r="1089" spans="1:20" x14ac:dyDescent="0.6">
      <c r="A1089" s="334"/>
      <c r="B1089" s="610"/>
      <c r="C1089" s="365"/>
      <c r="D1089" s="364"/>
      <c r="E1089" s="363"/>
      <c r="F1089" s="363"/>
      <c r="G1089" s="364"/>
      <c r="H1089" s="363"/>
      <c r="I1089" s="363"/>
      <c r="J1089" s="364"/>
      <c r="K1089" s="363"/>
      <c r="L1089" s="363"/>
      <c r="M1089" s="737"/>
      <c r="N1089" s="332"/>
      <c r="O1089" s="332"/>
      <c r="P1089" s="332"/>
      <c r="Q1089" s="332"/>
      <c r="R1089" s="332"/>
      <c r="S1089" s="332"/>
      <c r="T1089" s="332"/>
    </row>
    <row r="1090" spans="1:20" x14ac:dyDescent="0.6">
      <c r="A1090" s="334"/>
      <c r="B1090" s="610"/>
      <c r="C1090" s="365"/>
      <c r="D1090" s="364"/>
      <c r="E1090" s="363"/>
      <c r="F1090" s="363"/>
      <c r="G1090" s="364"/>
      <c r="H1090" s="363"/>
      <c r="I1090" s="363"/>
      <c r="J1090" s="364"/>
      <c r="K1090" s="363"/>
      <c r="L1090" s="363"/>
      <c r="M1090" s="737"/>
      <c r="N1090" s="332"/>
      <c r="O1090" s="332"/>
      <c r="P1090" s="332"/>
      <c r="Q1090" s="332"/>
      <c r="R1090" s="332"/>
      <c r="S1090" s="332"/>
      <c r="T1090" s="332"/>
    </row>
    <row r="1091" spans="1:20" x14ac:dyDescent="0.6">
      <c r="A1091" s="334"/>
      <c r="B1091" s="610"/>
      <c r="C1091" s="365"/>
      <c r="D1091" s="364"/>
      <c r="E1091" s="363"/>
      <c r="F1091" s="363"/>
      <c r="G1091" s="364"/>
      <c r="H1091" s="363"/>
      <c r="I1091" s="363"/>
      <c r="J1091" s="364"/>
      <c r="K1091" s="363"/>
      <c r="L1091" s="363"/>
      <c r="M1091" s="737"/>
      <c r="N1091" s="332"/>
      <c r="O1091" s="332"/>
      <c r="P1091" s="332"/>
      <c r="Q1091" s="332"/>
      <c r="R1091" s="332"/>
      <c r="S1091" s="332"/>
      <c r="T1091" s="332"/>
    </row>
    <row r="1092" spans="1:20" x14ac:dyDescent="0.6">
      <c r="A1092" s="334"/>
      <c r="B1092" s="610"/>
      <c r="C1092" s="365"/>
      <c r="D1092" s="364"/>
      <c r="E1092" s="363"/>
      <c r="F1092" s="363"/>
      <c r="G1092" s="364"/>
      <c r="H1092" s="363"/>
      <c r="I1092" s="363"/>
      <c r="J1092" s="364"/>
      <c r="K1092" s="363"/>
      <c r="L1092" s="363"/>
      <c r="M1092" s="737"/>
      <c r="N1092" s="332"/>
      <c r="O1092" s="332"/>
      <c r="P1092" s="332"/>
      <c r="Q1092" s="332"/>
      <c r="R1092" s="332"/>
      <c r="S1092" s="332"/>
      <c r="T1092" s="332"/>
    </row>
    <row r="1093" spans="1:20" x14ac:dyDescent="0.6">
      <c r="A1093" s="334"/>
      <c r="B1093" s="610"/>
      <c r="C1093" s="365"/>
      <c r="D1093" s="364"/>
      <c r="E1093" s="363"/>
      <c r="F1093" s="363"/>
      <c r="G1093" s="364"/>
      <c r="H1093" s="363"/>
      <c r="I1093" s="363"/>
      <c r="J1093" s="364"/>
      <c r="K1093" s="363"/>
      <c r="L1093" s="363"/>
      <c r="M1093" s="737"/>
      <c r="N1093" s="332"/>
      <c r="O1093" s="332"/>
      <c r="P1093" s="332"/>
      <c r="Q1093" s="332"/>
      <c r="R1093" s="332"/>
      <c r="S1093" s="332"/>
      <c r="T1093" s="332"/>
    </row>
    <row r="1094" spans="1:20" x14ac:dyDescent="0.6">
      <c r="A1094" s="334"/>
      <c r="B1094" s="610"/>
      <c r="C1094" s="365"/>
      <c r="D1094" s="364"/>
      <c r="E1094" s="363"/>
      <c r="F1094" s="363"/>
      <c r="G1094" s="364"/>
      <c r="H1094" s="363"/>
      <c r="I1094" s="363"/>
      <c r="J1094" s="364"/>
      <c r="K1094" s="363"/>
      <c r="L1094" s="363"/>
      <c r="M1094" s="737"/>
      <c r="N1094" s="332"/>
      <c r="O1094" s="332"/>
      <c r="P1094" s="332"/>
      <c r="Q1094" s="332"/>
      <c r="R1094" s="332"/>
      <c r="S1094" s="332"/>
      <c r="T1094" s="332"/>
    </row>
    <row r="1095" spans="1:20" x14ac:dyDescent="0.6">
      <c r="A1095" s="334"/>
      <c r="B1095" s="610"/>
      <c r="C1095" s="365"/>
      <c r="D1095" s="364"/>
      <c r="E1095" s="363"/>
      <c r="F1095" s="363"/>
      <c r="G1095" s="364"/>
      <c r="H1095" s="363"/>
      <c r="I1095" s="363"/>
      <c r="J1095" s="364"/>
      <c r="K1095" s="363"/>
      <c r="L1095" s="363"/>
      <c r="M1095" s="737"/>
      <c r="N1095" s="332"/>
      <c r="O1095" s="332"/>
      <c r="P1095" s="332"/>
      <c r="Q1095" s="332"/>
      <c r="R1095" s="332"/>
      <c r="S1095" s="332"/>
      <c r="T1095" s="332"/>
    </row>
    <row r="1096" spans="1:20" x14ac:dyDescent="0.6">
      <c r="A1096" s="334"/>
      <c r="B1096" s="610"/>
      <c r="C1096" s="365"/>
      <c r="D1096" s="364"/>
      <c r="E1096" s="363"/>
      <c r="F1096" s="363"/>
      <c r="G1096" s="364"/>
      <c r="H1096" s="363"/>
      <c r="I1096" s="363"/>
      <c r="J1096" s="364"/>
      <c r="K1096" s="363"/>
      <c r="L1096" s="363"/>
      <c r="M1096" s="737"/>
      <c r="N1096" s="332"/>
      <c r="O1096" s="332"/>
      <c r="P1096" s="332"/>
      <c r="Q1096" s="332"/>
      <c r="R1096" s="332"/>
      <c r="S1096" s="332"/>
      <c r="T1096" s="332"/>
    </row>
    <row r="1097" spans="1:20" x14ac:dyDescent="0.6">
      <c r="A1097" s="334"/>
      <c r="B1097" s="610"/>
      <c r="C1097" s="365"/>
      <c r="D1097" s="364"/>
      <c r="E1097" s="363"/>
      <c r="F1097" s="363"/>
      <c r="G1097" s="364"/>
      <c r="H1097" s="363"/>
      <c r="I1097" s="363"/>
      <c r="J1097" s="364"/>
      <c r="K1097" s="363"/>
      <c r="L1097" s="363"/>
      <c r="M1097" s="737"/>
      <c r="N1097" s="332"/>
      <c r="O1097" s="332"/>
      <c r="P1097" s="332"/>
      <c r="Q1097" s="332"/>
      <c r="R1097" s="332"/>
      <c r="S1097" s="332"/>
      <c r="T1097" s="332"/>
    </row>
    <row r="1098" spans="1:20" x14ac:dyDescent="0.6">
      <c r="A1098" s="334"/>
      <c r="B1098" s="610"/>
      <c r="C1098" s="365"/>
      <c r="D1098" s="364"/>
      <c r="E1098" s="363"/>
      <c r="F1098" s="363"/>
      <c r="G1098" s="364"/>
      <c r="H1098" s="363"/>
      <c r="I1098" s="363"/>
      <c r="J1098" s="364"/>
      <c r="K1098" s="363"/>
      <c r="L1098" s="363"/>
      <c r="M1098" s="737"/>
      <c r="N1098" s="332"/>
      <c r="O1098" s="332"/>
      <c r="P1098" s="332"/>
      <c r="Q1098" s="332"/>
      <c r="R1098" s="332"/>
      <c r="S1098" s="332"/>
      <c r="T1098" s="332"/>
    </row>
    <row r="1099" spans="1:20" x14ac:dyDescent="0.6">
      <c r="A1099" s="334"/>
      <c r="B1099" s="610"/>
      <c r="C1099" s="365"/>
      <c r="D1099" s="364"/>
      <c r="E1099" s="363"/>
      <c r="F1099" s="363"/>
      <c r="G1099" s="364"/>
      <c r="H1099" s="363"/>
      <c r="I1099" s="363"/>
      <c r="J1099" s="364"/>
      <c r="K1099" s="363"/>
      <c r="L1099" s="363"/>
      <c r="M1099" s="737"/>
      <c r="N1099" s="332"/>
      <c r="O1099" s="332"/>
      <c r="P1099" s="332"/>
      <c r="Q1099" s="332"/>
      <c r="R1099" s="332"/>
      <c r="S1099" s="332"/>
      <c r="T1099" s="332"/>
    </row>
    <row r="1100" spans="1:20" x14ac:dyDescent="0.6">
      <c r="A1100" s="334"/>
      <c r="B1100" s="610"/>
      <c r="C1100" s="365"/>
      <c r="D1100" s="364"/>
      <c r="E1100" s="363"/>
      <c r="F1100" s="363"/>
      <c r="G1100" s="364"/>
      <c r="H1100" s="363"/>
      <c r="I1100" s="363"/>
      <c r="J1100" s="364"/>
      <c r="K1100" s="363"/>
      <c r="L1100" s="363"/>
      <c r="M1100" s="737"/>
      <c r="N1100" s="332"/>
      <c r="O1100" s="332"/>
      <c r="P1100" s="332"/>
      <c r="Q1100" s="332"/>
      <c r="R1100" s="332"/>
      <c r="S1100" s="332"/>
      <c r="T1100" s="332"/>
    </row>
    <row r="1101" spans="1:20" x14ac:dyDescent="0.6">
      <c r="A1101" s="334"/>
      <c r="B1101" s="610"/>
      <c r="C1101" s="365"/>
      <c r="D1101" s="364"/>
      <c r="E1101" s="363"/>
      <c r="F1101" s="363"/>
      <c r="G1101" s="364"/>
      <c r="H1101" s="363"/>
      <c r="I1101" s="363"/>
      <c r="J1101" s="364"/>
      <c r="K1101" s="363"/>
      <c r="L1101" s="363"/>
      <c r="M1101" s="737"/>
      <c r="N1101" s="332"/>
      <c r="O1101" s="332"/>
      <c r="P1101" s="332"/>
      <c r="Q1101" s="332"/>
      <c r="R1101" s="332"/>
      <c r="S1101" s="332"/>
      <c r="T1101" s="332"/>
    </row>
    <row r="1102" spans="1:20" x14ac:dyDescent="0.6">
      <c r="A1102" s="334"/>
      <c r="B1102" s="610"/>
      <c r="C1102" s="365"/>
      <c r="D1102" s="364"/>
      <c r="E1102" s="363"/>
      <c r="F1102" s="363"/>
      <c r="G1102" s="364"/>
      <c r="H1102" s="363"/>
      <c r="I1102" s="363"/>
      <c r="J1102" s="364"/>
      <c r="K1102" s="363"/>
      <c r="L1102" s="363"/>
      <c r="M1102" s="737"/>
      <c r="N1102" s="332"/>
      <c r="O1102" s="332"/>
      <c r="P1102" s="332"/>
      <c r="Q1102" s="332"/>
      <c r="R1102" s="332"/>
      <c r="S1102" s="332"/>
      <c r="T1102" s="332"/>
    </row>
    <row r="1103" spans="1:20" x14ac:dyDescent="0.6">
      <c r="A1103" s="334"/>
      <c r="B1103" s="610"/>
      <c r="C1103" s="365"/>
      <c r="D1103" s="364"/>
      <c r="E1103" s="363"/>
      <c r="F1103" s="363"/>
      <c r="G1103" s="364"/>
      <c r="H1103" s="363"/>
      <c r="I1103" s="363"/>
      <c r="J1103" s="364"/>
      <c r="K1103" s="363"/>
      <c r="L1103" s="363"/>
      <c r="M1103" s="737"/>
      <c r="N1103" s="332"/>
      <c r="O1103" s="332"/>
      <c r="P1103" s="332"/>
      <c r="Q1103" s="332"/>
      <c r="R1103" s="332"/>
      <c r="S1103" s="332"/>
      <c r="T1103" s="332"/>
    </row>
    <row r="1104" spans="1:20" x14ac:dyDescent="0.6">
      <c r="A1104" s="334"/>
      <c r="B1104" s="610"/>
      <c r="C1104" s="365"/>
      <c r="D1104" s="364"/>
      <c r="E1104" s="363"/>
      <c r="F1104" s="363"/>
      <c r="G1104" s="364"/>
      <c r="H1104" s="363"/>
      <c r="I1104" s="363"/>
      <c r="J1104" s="364"/>
      <c r="K1104" s="363"/>
      <c r="L1104" s="363"/>
      <c r="M1104" s="737"/>
      <c r="N1104" s="332"/>
      <c r="O1104" s="332"/>
      <c r="P1104" s="332"/>
      <c r="Q1104" s="332"/>
      <c r="R1104" s="332"/>
      <c r="S1104" s="332"/>
      <c r="T1104" s="332"/>
    </row>
    <row r="1105" spans="1:20" x14ac:dyDescent="0.6">
      <c r="A1105" s="334"/>
      <c r="B1105" s="610"/>
      <c r="C1105" s="365"/>
      <c r="D1105" s="364"/>
      <c r="E1105" s="363"/>
      <c r="F1105" s="363"/>
      <c r="G1105" s="364"/>
      <c r="H1105" s="363"/>
      <c r="I1105" s="363"/>
      <c r="J1105" s="364"/>
      <c r="K1105" s="363"/>
      <c r="L1105" s="363"/>
      <c r="M1105" s="737"/>
      <c r="N1105" s="332"/>
      <c r="O1105" s="332"/>
      <c r="P1105" s="332"/>
      <c r="Q1105" s="332"/>
      <c r="R1105" s="332"/>
      <c r="S1105" s="332"/>
      <c r="T1105" s="332"/>
    </row>
    <row r="1106" spans="1:20" x14ac:dyDescent="0.6">
      <c r="A1106" s="334"/>
      <c r="B1106" s="610"/>
      <c r="C1106" s="365"/>
      <c r="D1106" s="364"/>
      <c r="E1106" s="363"/>
      <c r="F1106" s="363"/>
      <c r="G1106" s="364"/>
      <c r="H1106" s="363"/>
      <c r="I1106" s="363"/>
      <c r="J1106" s="364"/>
      <c r="K1106" s="363"/>
      <c r="L1106" s="363"/>
      <c r="M1106" s="737"/>
      <c r="N1106" s="332"/>
      <c r="O1106" s="332"/>
      <c r="P1106" s="332"/>
      <c r="Q1106" s="332"/>
      <c r="R1106" s="332"/>
      <c r="S1106" s="332"/>
      <c r="T1106" s="332"/>
    </row>
    <row r="1107" spans="1:20" x14ac:dyDescent="0.6">
      <c r="A1107" s="334"/>
      <c r="B1107" s="610"/>
      <c r="C1107" s="365"/>
      <c r="D1107" s="364"/>
      <c r="E1107" s="363"/>
      <c r="F1107" s="363"/>
      <c r="G1107" s="364"/>
      <c r="H1107" s="363"/>
      <c r="I1107" s="363"/>
      <c r="J1107" s="364"/>
      <c r="K1107" s="363"/>
      <c r="L1107" s="363"/>
      <c r="M1107" s="737"/>
      <c r="N1107" s="332"/>
      <c r="O1107" s="332"/>
      <c r="P1107" s="332"/>
      <c r="Q1107" s="332"/>
      <c r="R1107" s="332"/>
      <c r="S1107" s="332"/>
      <c r="T1107" s="332"/>
    </row>
    <row r="1108" spans="1:20" x14ac:dyDescent="0.6">
      <c r="A1108" s="334"/>
      <c r="B1108" s="610"/>
      <c r="C1108" s="365"/>
      <c r="D1108" s="364"/>
      <c r="E1108" s="363"/>
      <c r="F1108" s="363"/>
      <c r="G1108" s="364"/>
      <c r="H1108" s="363"/>
      <c r="I1108" s="363"/>
      <c r="J1108" s="364"/>
      <c r="K1108" s="363"/>
      <c r="L1108" s="363"/>
      <c r="M1108" s="737"/>
      <c r="N1108" s="332"/>
      <c r="O1108" s="332"/>
      <c r="P1108" s="332"/>
      <c r="Q1108" s="332"/>
      <c r="R1108" s="332"/>
      <c r="S1108" s="332"/>
      <c r="T1108" s="332"/>
    </row>
    <row r="1109" spans="1:20" x14ac:dyDescent="0.6">
      <c r="A1109" s="334"/>
      <c r="B1109" s="610"/>
      <c r="C1109" s="365"/>
      <c r="D1109" s="364"/>
      <c r="E1109" s="363"/>
      <c r="F1109" s="363"/>
      <c r="G1109" s="364"/>
      <c r="H1109" s="363"/>
      <c r="I1109" s="363"/>
      <c r="J1109" s="364"/>
      <c r="K1109" s="363"/>
      <c r="L1109" s="363"/>
      <c r="M1109" s="737"/>
      <c r="N1109" s="332"/>
      <c r="O1109" s="332"/>
      <c r="P1109" s="332"/>
      <c r="Q1109" s="332"/>
      <c r="R1109" s="332"/>
      <c r="S1109" s="332"/>
      <c r="T1109" s="332"/>
    </row>
    <row r="1110" spans="1:20" x14ac:dyDescent="0.6">
      <c r="A1110" s="334"/>
      <c r="B1110" s="610"/>
      <c r="C1110" s="365"/>
      <c r="D1110" s="364"/>
      <c r="E1110" s="363"/>
      <c r="F1110" s="363"/>
      <c r="G1110" s="364"/>
      <c r="H1110" s="363"/>
      <c r="I1110" s="363"/>
      <c r="J1110" s="364"/>
      <c r="K1110" s="363"/>
      <c r="L1110" s="363"/>
      <c r="M1110" s="737"/>
      <c r="N1110" s="332"/>
      <c r="O1110" s="332"/>
      <c r="P1110" s="332"/>
      <c r="Q1110" s="332"/>
      <c r="R1110" s="332"/>
      <c r="S1110" s="332"/>
      <c r="T1110" s="332"/>
    </row>
    <row r="1111" spans="1:20" x14ac:dyDescent="0.6">
      <c r="A1111" s="334"/>
      <c r="B1111" s="610"/>
      <c r="C1111" s="365"/>
      <c r="D1111" s="364"/>
      <c r="E1111" s="363"/>
      <c r="F1111" s="363"/>
      <c r="G1111" s="364"/>
      <c r="H1111" s="363"/>
      <c r="I1111" s="363"/>
      <c r="J1111" s="364"/>
      <c r="K1111" s="363"/>
      <c r="L1111" s="363"/>
      <c r="M1111" s="737"/>
      <c r="N1111" s="332"/>
      <c r="O1111" s="332"/>
      <c r="P1111" s="332"/>
      <c r="Q1111" s="332"/>
      <c r="R1111" s="332"/>
      <c r="S1111" s="332"/>
      <c r="T1111" s="332"/>
    </row>
    <row r="1112" spans="1:20" x14ac:dyDescent="0.6">
      <c r="A1112" s="334"/>
      <c r="B1112" s="610"/>
      <c r="C1112" s="365"/>
      <c r="D1112" s="364"/>
      <c r="E1112" s="363"/>
      <c r="F1112" s="363"/>
      <c r="G1112" s="364"/>
      <c r="H1112" s="363"/>
      <c r="I1112" s="363"/>
      <c r="J1112" s="364"/>
      <c r="K1112" s="363"/>
      <c r="L1112" s="363"/>
      <c r="M1112" s="737"/>
      <c r="N1112" s="332"/>
      <c r="O1112" s="332"/>
      <c r="P1112" s="332"/>
      <c r="Q1112" s="332"/>
      <c r="R1112" s="332"/>
      <c r="S1112" s="332"/>
      <c r="T1112" s="332"/>
    </row>
    <row r="1113" spans="1:20" x14ac:dyDescent="0.6">
      <c r="A1113" s="334"/>
      <c r="B1113" s="610"/>
      <c r="C1113" s="365"/>
      <c r="D1113" s="364"/>
      <c r="E1113" s="363"/>
      <c r="F1113" s="363"/>
      <c r="G1113" s="364"/>
      <c r="H1113" s="363"/>
      <c r="I1113" s="363"/>
      <c r="J1113" s="364"/>
      <c r="K1113" s="363"/>
      <c r="L1113" s="363"/>
      <c r="M1113" s="737"/>
      <c r="N1113" s="332"/>
      <c r="O1113" s="332"/>
      <c r="P1113" s="332"/>
      <c r="Q1113" s="332"/>
      <c r="R1113" s="332"/>
      <c r="S1113" s="332"/>
      <c r="T1113" s="332"/>
    </row>
    <row r="1114" spans="1:20" x14ac:dyDescent="0.6">
      <c r="A1114" s="334"/>
      <c r="B1114" s="610"/>
      <c r="C1114" s="365"/>
      <c r="D1114" s="364"/>
      <c r="E1114" s="363"/>
      <c r="F1114" s="363"/>
      <c r="G1114" s="364"/>
      <c r="H1114" s="363"/>
      <c r="I1114" s="363"/>
      <c r="J1114" s="364"/>
      <c r="K1114" s="363"/>
      <c r="L1114" s="363"/>
      <c r="M1114" s="737"/>
      <c r="N1114" s="332"/>
      <c r="O1114" s="332"/>
      <c r="P1114" s="332"/>
      <c r="Q1114" s="332"/>
      <c r="R1114" s="332"/>
      <c r="S1114" s="332"/>
      <c r="T1114" s="332"/>
    </row>
    <row r="1115" spans="1:20" x14ac:dyDescent="0.6">
      <c r="A1115" s="334"/>
      <c r="B1115" s="610"/>
      <c r="C1115" s="365"/>
      <c r="D1115" s="364"/>
      <c r="E1115" s="363"/>
      <c r="F1115" s="363"/>
      <c r="G1115" s="364"/>
      <c r="H1115" s="363"/>
      <c r="I1115" s="363"/>
      <c r="J1115" s="364"/>
      <c r="K1115" s="363"/>
      <c r="L1115" s="363"/>
      <c r="M1115" s="737"/>
      <c r="N1115" s="332"/>
      <c r="O1115" s="332"/>
      <c r="P1115" s="332"/>
      <c r="Q1115" s="332"/>
      <c r="R1115" s="332"/>
      <c r="S1115" s="332"/>
      <c r="T1115" s="332"/>
    </row>
    <row r="1116" spans="1:20" x14ac:dyDescent="0.6">
      <c r="A1116" s="334"/>
      <c r="B1116" s="610"/>
      <c r="C1116" s="365"/>
      <c r="D1116" s="364"/>
      <c r="E1116" s="363"/>
      <c r="F1116" s="363"/>
      <c r="G1116" s="364"/>
      <c r="H1116" s="363"/>
      <c r="I1116" s="363"/>
      <c r="J1116" s="364"/>
      <c r="K1116" s="363"/>
      <c r="L1116" s="363"/>
      <c r="M1116" s="737"/>
      <c r="N1116" s="332"/>
      <c r="O1116" s="332"/>
      <c r="P1116" s="332"/>
      <c r="Q1116" s="332"/>
      <c r="R1116" s="332"/>
      <c r="S1116" s="332"/>
      <c r="T1116" s="332"/>
    </row>
    <row r="1117" spans="1:20" x14ac:dyDescent="0.6">
      <c r="A1117" s="334"/>
      <c r="B1117" s="610"/>
      <c r="C1117" s="365"/>
      <c r="D1117" s="364"/>
      <c r="E1117" s="363"/>
      <c r="F1117" s="363"/>
      <c r="G1117" s="364"/>
      <c r="H1117" s="363"/>
      <c r="I1117" s="363"/>
      <c r="J1117" s="364"/>
      <c r="K1117" s="363"/>
      <c r="L1117" s="363"/>
      <c r="M1117" s="737"/>
      <c r="N1117" s="332"/>
      <c r="O1117" s="332"/>
      <c r="P1117" s="332"/>
      <c r="Q1117" s="332"/>
      <c r="R1117" s="332"/>
      <c r="S1117" s="332"/>
      <c r="T1117" s="332"/>
    </row>
    <row r="1118" spans="1:20" x14ac:dyDescent="0.6">
      <c r="A1118" s="334"/>
      <c r="B1118" s="610"/>
      <c r="C1118" s="365"/>
      <c r="D1118" s="364"/>
      <c r="E1118" s="363"/>
      <c r="F1118" s="363"/>
      <c r="G1118" s="364"/>
      <c r="H1118" s="363"/>
      <c r="I1118" s="363"/>
      <c r="J1118" s="364"/>
      <c r="K1118" s="363"/>
      <c r="L1118" s="363"/>
      <c r="M1118" s="737"/>
      <c r="N1118" s="332"/>
      <c r="O1118" s="332"/>
      <c r="P1118" s="332"/>
      <c r="Q1118" s="332"/>
      <c r="R1118" s="332"/>
      <c r="S1118" s="332"/>
      <c r="T1118" s="332"/>
    </row>
    <row r="1119" spans="1:20" x14ac:dyDescent="0.6">
      <c r="A1119" s="334"/>
      <c r="B1119" s="610"/>
      <c r="C1119" s="365"/>
      <c r="D1119" s="364"/>
      <c r="E1119" s="363"/>
      <c r="F1119" s="363"/>
      <c r="G1119" s="364"/>
      <c r="H1119" s="363"/>
      <c r="I1119" s="363"/>
      <c r="J1119" s="364"/>
      <c r="K1119" s="363"/>
      <c r="L1119" s="363"/>
      <c r="M1119" s="737"/>
      <c r="N1119" s="332"/>
      <c r="O1119" s="332"/>
      <c r="P1119" s="332"/>
      <c r="Q1119" s="332"/>
      <c r="R1119" s="332"/>
      <c r="S1119" s="332"/>
      <c r="T1119" s="332"/>
    </row>
    <row r="1120" spans="1:20" x14ac:dyDescent="0.6">
      <c r="A1120" s="334"/>
      <c r="B1120" s="610"/>
      <c r="C1120" s="365"/>
      <c r="D1120" s="364"/>
      <c r="E1120" s="363"/>
      <c r="F1120" s="363"/>
      <c r="G1120" s="364"/>
      <c r="H1120" s="363"/>
      <c r="I1120" s="363"/>
      <c r="J1120" s="364"/>
      <c r="K1120" s="363"/>
      <c r="L1120" s="363"/>
      <c r="M1120" s="737"/>
      <c r="N1120" s="332"/>
      <c r="O1120" s="332"/>
      <c r="P1120" s="332"/>
      <c r="Q1120" s="332"/>
      <c r="R1120" s="332"/>
      <c r="S1120" s="332"/>
      <c r="T1120" s="332"/>
    </row>
    <row r="1121" spans="1:20" x14ac:dyDescent="0.6">
      <c r="A1121" s="334"/>
      <c r="B1121" s="610"/>
      <c r="C1121" s="365"/>
      <c r="D1121" s="364"/>
      <c r="E1121" s="363"/>
      <c r="F1121" s="363"/>
      <c r="G1121" s="364"/>
      <c r="H1121" s="363"/>
      <c r="I1121" s="363"/>
      <c r="J1121" s="364"/>
      <c r="K1121" s="363"/>
      <c r="L1121" s="363"/>
      <c r="M1121" s="737"/>
      <c r="N1121" s="332"/>
      <c r="O1121" s="332"/>
      <c r="P1121" s="332"/>
      <c r="Q1121" s="332"/>
      <c r="R1121" s="332"/>
      <c r="S1121" s="332"/>
      <c r="T1121" s="332"/>
    </row>
    <row r="1122" spans="1:20" x14ac:dyDescent="0.6">
      <c r="A1122" s="334"/>
      <c r="B1122" s="610"/>
      <c r="C1122" s="365"/>
      <c r="D1122" s="364"/>
      <c r="E1122" s="363"/>
      <c r="F1122" s="363"/>
      <c r="G1122" s="364"/>
      <c r="H1122" s="363"/>
      <c r="I1122" s="363"/>
      <c r="J1122" s="364"/>
      <c r="K1122" s="363"/>
      <c r="L1122" s="363"/>
      <c r="M1122" s="737"/>
      <c r="N1122" s="332"/>
      <c r="O1122" s="332"/>
      <c r="P1122" s="332"/>
      <c r="Q1122" s="332"/>
      <c r="R1122" s="332"/>
      <c r="S1122" s="332"/>
      <c r="T1122" s="332"/>
    </row>
    <row r="1123" spans="1:20" x14ac:dyDescent="0.6">
      <c r="A1123" s="334"/>
      <c r="B1123" s="610"/>
      <c r="C1123" s="365"/>
      <c r="D1123" s="364"/>
      <c r="E1123" s="363"/>
      <c r="F1123" s="363"/>
      <c r="G1123" s="364"/>
      <c r="H1123" s="363"/>
      <c r="I1123" s="363"/>
      <c r="J1123" s="364"/>
      <c r="K1123" s="363"/>
      <c r="L1123" s="363"/>
      <c r="M1123" s="737"/>
      <c r="N1123" s="332"/>
      <c r="O1123" s="332"/>
      <c r="P1123" s="332"/>
      <c r="Q1123" s="332"/>
      <c r="R1123" s="332"/>
      <c r="S1123" s="332"/>
      <c r="T1123" s="332"/>
    </row>
    <row r="1124" spans="1:20" x14ac:dyDescent="0.6">
      <c r="A1124" s="334"/>
      <c r="B1124" s="610"/>
      <c r="C1124" s="365"/>
      <c r="D1124" s="364"/>
      <c r="E1124" s="363"/>
      <c r="F1124" s="363"/>
      <c r="G1124" s="364"/>
      <c r="H1124" s="363"/>
      <c r="I1124" s="363"/>
      <c r="J1124" s="364"/>
      <c r="K1124" s="363"/>
      <c r="L1124" s="363"/>
      <c r="M1124" s="737"/>
      <c r="N1124" s="332"/>
      <c r="O1124" s="332"/>
      <c r="P1124" s="332"/>
      <c r="Q1124" s="332"/>
      <c r="R1124" s="332"/>
      <c r="S1124" s="332"/>
      <c r="T1124" s="332"/>
    </row>
    <row r="1125" spans="1:20" x14ac:dyDescent="0.6">
      <c r="A1125" s="334"/>
      <c r="B1125" s="610"/>
      <c r="C1125" s="365"/>
      <c r="D1125" s="364"/>
      <c r="E1125" s="363"/>
      <c r="F1125" s="363"/>
      <c r="G1125" s="364"/>
      <c r="H1125" s="363"/>
      <c r="I1125" s="363"/>
      <c r="J1125" s="364"/>
      <c r="K1125" s="363"/>
      <c r="L1125" s="363"/>
      <c r="M1125" s="737"/>
      <c r="N1125" s="332"/>
      <c r="O1125" s="332"/>
      <c r="P1125" s="332"/>
      <c r="Q1125" s="332"/>
      <c r="R1125" s="332"/>
      <c r="S1125" s="332"/>
      <c r="T1125" s="332"/>
    </row>
    <row r="1126" spans="1:20" x14ac:dyDescent="0.6">
      <c r="A1126" s="334"/>
      <c r="B1126" s="610"/>
      <c r="C1126" s="365"/>
      <c r="D1126" s="364"/>
      <c r="E1126" s="363"/>
      <c r="F1126" s="363"/>
      <c r="G1126" s="364"/>
      <c r="H1126" s="363"/>
      <c r="I1126" s="363"/>
      <c r="J1126" s="364"/>
      <c r="K1126" s="363"/>
      <c r="L1126" s="363"/>
      <c r="M1126" s="737"/>
      <c r="N1126" s="332"/>
      <c r="O1126" s="332"/>
      <c r="P1126" s="332"/>
      <c r="Q1126" s="332"/>
      <c r="R1126" s="332"/>
      <c r="S1126" s="332"/>
      <c r="T1126" s="332"/>
    </row>
    <row r="1127" spans="1:20" x14ac:dyDescent="0.6">
      <c r="A1127" s="334"/>
      <c r="B1127" s="610"/>
      <c r="C1127" s="365"/>
      <c r="D1127" s="364"/>
      <c r="E1127" s="363"/>
      <c r="F1127" s="363"/>
      <c r="G1127" s="364"/>
      <c r="H1127" s="363"/>
      <c r="I1127" s="363"/>
      <c r="J1127" s="364"/>
      <c r="K1127" s="363"/>
      <c r="L1127" s="363"/>
      <c r="M1127" s="737"/>
      <c r="N1127" s="332"/>
      <c r="O1127" s="332"/>
      <c r="P1127" s="332"/>
      <c r="Q1127" s="332"/>
      <c r="R1127" s="332"/>
      <c r="S1127" s="332"/>
      <c r="T1127" s="332"/>
    </row>
    <row r="1128" spans="1:20" x14ac:dyDescent="0.6">
      <c r="A1128" s="334"/>
      <c r="B1128" s="610"/>
      <c r="C1128" s="365"/>
      <c r="D1128" s="364"/>
      <c r="E1128" s="363"/>
      <c r="F1128" s="363"/>
      <c r="G1128" s="364"/>
      <c r="H1128" s="363"/>
      <c r="I1128" s="363"/>
      <c r="J1128" s="364"/>
      <c r="K1128" s="363"/>
      <c r="L1128" s="363"/>
      <c r="M1128" s="737"/>
      <c r="N1128" s="332"/>
      <c r="O1128" s="332"/>
      <c r="P1128" s="332"/>
      <c r="Q1128" s="332"/>
      <c r="R1128" s="332"/>
      <c r="S1128" s="332"/>
      <c r="T1128" s="332"/>
    </row>
    <row r="1129" spans="1:20" x14ac:dyDescent="0.6">
      <c r="A1129" s="334"/>
      <c r="B1129" s="610"/>
      <c r="C1129" s="365"/>
      <c r="D1129" s="364"/>
      <c r="E1129" s="363"/>
      <c r="F1129" s="363"/>
      <c r="G1129" s="364"/>
      <c r="H1129" s="363"/>
      <c r="I1129" s="363"/>
      <c r="J1129" s="364"/>
      <c r="K1129" s="363"/>
      <c r="L1129" s="363"/>
      <c r="M1129" s="737"/>
      <c r="N1129" s="332"/>
      <c r="O1129" s="332"/>
      <c r="P1129" s="332"/>
      <c r="Q1129" s="332"/>
      <c r="R1129" s="332"/>
      <c r="S1129" s="332"/>
      <c r="T1129" s="332"/>
    </row>
    <row r="1130" spans="1:20" x14ac:dyDescent="0.6">
      <c r="A1130" s="334"/>
      <c r="B1130" s="610"/>
      <c r="C1130" s="365"/>
      <c r="D1130" s="364"/>
      <c r="E1130" s="363"/>
      <c r="F1130" s="363"/>
      <c r="G1130" s="364"/>
      <c r="H1130" s="363"/>
      <c r="I1130" s="363"/>
      <c r="J1130" s="364"/>
      <c r="K1130" s="363"/>
      <c r="L1130" s="363"/>
      <c r="M1130" s="737"/>
      <c r="N1130" s="332"/>
      <c r="O1130" s="332"/>
      <c r="P1130" s="332"/>
      <c r="Q1130" s="332"/>
      <c r="R1130" s="332"/>
      <c r="S1130" s="332"/>
      <c r="T1130" s="332"/>
    </row>
    <row r="1131" spans="1:20" x14ac:dyDescent="0.6">
      <c r="A1131" s="334"/>
      <c r="B1131" s="610"/>
      <c r="C1131" s="365"/>
      <c r="D1131" s="364"/>
      <c r="E1131" s="363"/>
      <c r="F1131" s="363"/>
      <c r="G1131" s="364"/>
      <c r="H1131" s="363"/>
      <c r="I1131" s="363"/>
      <c r="J1131" s="364"/>
      <c r="K1131" s="363"/>
      <c r="L1131" s="363"/>
      <c r="M1131" s="737"/>
      <c r="N1131" s="332"/>
      <c r="O1131" s="332"/>
      <c r="P1131" s="332"/>
      <c r="Q1131" s="332"/>
      <c r="R1131" s="332"/>
      <c r="S1131" s="332"/>
      <c r="T1131" s="332"/>
    </row>
    <row r="1132" spans="1:20" x14ac:dyDescent="0.6">
      <c r="A1132" s="334"/>
      <c r="B1132" s="610"/>
      <c r="C1132" s="365"/>
      <c r="D1132" s="364"/>
      <c r="E1132" s="363"/>
      <c r="F1132" s="363"/>
      <c r="G1132" s="364"/>
      <c r="H1132" s="363"/>
      <c r="I1132" s="363"/>
      <c r="J1132" s="364"/>
      <c r="K1132" s="363"/>
      <c r="L1132" s="363"/>
      <c r="M1132" s="737"/>
      <c r="N1132" s="332"/>
      <c r="O1132" s="332"/>
      <c r="P1132" s="332"/>
      <c r="Q1132" s="332"/>
      <c r="R1132" s="332"/>
      <c r="S1132" s="332"/>
      <c r="T1132" s="332"/>
    </row>
    <row r="1133" spans="1:20" x14ac:dyDescent="0.6">
      <c r="A1133" s="334"/>
      <c r="B1133" s="610"/>
      <c r="C1133" s="365"/>
      <c r="D1133" s="364"/>
      <c r="E1133" s="363"/>
      <c r="F1133" s="363"/>
      <c r="G1133" s="364"/>
      <c r="H1133" s="363"/>
      <c r="I1133" s="363"/>
      <c r="J1133" s="364"/>
      <c r="K1133" s="363"/>
      <c r="L1133" s="363"/>
      <c r="M1133" s="737"/>
      <c r="N1133" s="332"/>
      <c r="O1133" s="332"/>
      <c r="P1133" s="332"/>
      <c r="Q1133" s="332"/>
      <c r="R1133" s="332"/>
      <c r="S1133" s="332"/>
      <c r="T1133" s="332"/>
    </row>
    <row r="1134" spans="1:20" x14ac:dyDescent="0.6">
      <c r="A1134" s="334"/>
      <c r="B1134" s="610"/>
      <c r="C1134" s="365"/>
      <c r="D1134" s="364"/>
      <c r="E1134" s="363"/>
      <c r="F1134" s="363"/>
      <c r="G1134" s="364"/>
      <c r="H1134" s="363"/>
      <c r="I1134" s="363"/>
      <c r="J1134" s="364"/>
      <c r="K1134" s="363"/>
      <c r="L1134" s="363"/>
      <c r="M1134" s="737"/>
      <c r="N1134" s="332"/>
      <c r="O1134" s="332"/>
      <c r="P1134" s="332"/>
      <c r="Q1134" s="332"/>
      <c r="R1134" s="332"/>
      <c r="S1134" s="332"/>
      <c r="T1134" s="332"/>
    </row>
    <row r="1135" spans="1:20" x14ac:dyDescent="0.6">
      <c r="A1135" s="334"/>
      <c r="B1135" s="610"/>
      <c r="C1135" s="365"/>
      <c r="D1135" s="364"/>
      <c r="E1135" s="363"/>
      <c r="F1135" s="363"/>
      <c r="G1135" s="364"/>
      <c r="H1135" s="363"/>
      <c r="I1135" s="363"/>
      <c r="J1135" s="364"/>
      <c r="K1135" s="363"/>
      <c r="L1135" s="363"/>
      <c r="M1135" s="737"/>
      <c r="N1135" s="332"/>
      <c r="O1135" s="332"/>
      <c r="P1135" s="332"/>
      <c r="Q1135" s="332"/>
      <c r="R1135" s="332"/>
      <c r="S1135" s="332"/>
      <c r="T1135" s="332"/>
    </row>
    <row r="1136" spans="1:20" x14ac:dyDescent="0.6">
      <c r="A1136" s="334"/>
      <c r="B1136" s="610"/>
      <c r="C1136" s="365"/>
      <c r="D1136" s="364"/>
      <c r="E1136" s="363"/>
      <c r="F1136" s="363"/>
      <c r="G1136" s="364"/>
      <c r="H1136" s="363"/>
      <c r="I1136" s="363"/>
      <c r="J1136" s="364"/>
      <c r="K1136" s="363"/>
      <c r="L1136" s="363"/>
      <c r="M1136" s="737"/>
      <c r="N1136" s="332"/>
      <c r="O1136" s="332"/>
      <c r="P1136" s="332"/>
      <c r="Q1136" s="332"/>
      <c r="R1136" s="332"/>
      <c r="S1136" s="332"/>
      <c r="T1136" s="332"/>
    </row>
    <row r="1137" spans="1:20" x14ac:dyDescent="0.6">
      <c r="A1137" s="334"/>
      <c r="B1137" s="610"/>
      <c r="C1137" s="365"/>
      <c r="D1137" s="364"/>
      <c r="E1137" s="363"/>
      <c r="F1137" s="363"/>
      <c r="G1137" s="364"/>
      <c r="H1137" s="363"/>
      <c r="I1137" s="363"/>
      <c r="J1137" s="364"/>
      <c r="K1137" s="363"/>
      <c r="L1137" s="363"/>
      <c r="M1137" s="737"/>
      <c r="N1137" s="332"/>
      <c r="O1137" s="332"/>
      <c r="P1137" s="332"/>
      <c r="Q1137" s="332"/>
      <c r="R1137" s="332"/>
      <c r="S1137" s="332"/>
      <c r="T1137" s="332"/>
    </row>
    <row r="1138" spans="1:20" x14ac:dyDescent="0.6">
      <c r="A1138" s="334"/>
      <c r="B1138" s="610"/>
      <c r="C1138" s="365"/>
      <c r="D1138" s="364"/>
      <c r="E1138" s="363"/>
      <c r="F1138" s="363"/>
      <c r="G1138" s="364"/>
      <c r="H1138" s="363"/>
      <c r="I1138" s="363"/>
      <c r="J1138" s="364"/>
      <c r="K1138" s="363"/>
      <c r="L1138" s="363"/>
      <c r="M1138" s="737"/>
      <c r="N1138" s="332"/>
      <c r="O1138" s="332"/>
      <c r="P1138" s="332"/>
      <c r="Q1138" s="332"/>
      <c r="R1138" s="332"/>
      <c r="S1138" s="332"/>
      <c r="T1138" s="332"/>
    </row>
    <row r="1139" spans="1:20" x14ac:dyDescent="0.6">
      <c r="A1139" s="334"/>
      <c r="B1139" s="610"/>
      <c r="C1139" s="365"/>
      <c r="D1139" s="364"/>
      <c r="E1139" s="363"/>
      <c r="F1139" s="363"/>
      <c r="G1139" s="364"/>
      <c r="H1139" s="363"/>
      <c r="I1139" s="363"/>
      <c r="J1139" s="364"/>
      <c r="K1139" s="363"/>
      <c r="L1139" s="363"/>
      <c r="M1139" s="737"/>
      <c r="N1139" s="332"/>
      <c r="O1139" s="332"/>
      <c r="P1139" s="332"/>
      <c r="Q1139" s="332"/>
      <c r="R1139" s="332"/>
      <c r="S1139" s="332"/>
      <c r="T1139" s="332"/>
    </row>
    <row r="1140" spans="1:20" x14ac:dyDescent="0.6">
      <c r="A1140" s="334"/>
      <c r="B1140" s="610"/>
      <c r="C1140" s="365"/>
      <c r="D1140" s="364"/>
      <c r="E1140" s="363"/>
      <c r="F1140" s="363"/>
      <c r="G1140" s="364"/>
      <c r="H1140" s="363"/>
      <c r="I1140" s="363"/>
      <c r="J1140" s="364"/>
      <c r="K1140" s="363"/>
      <c r="L1140" s="363"/>
      <c r="M1140" s="737"/>
      <c r="N1140" s="332"/>
      <c r="O1140" s="332"/>
      <c r="P1140" s="332"/>
      <c r="Q1140" s="332"/>
      <c r="R1140" s="332"/>
      <c r="S1140" s="332"/>
      <c r="T1140" s="332"/>
    </row>
    <row r="1141" spans="1:20" x14ac:dyDescent="0.6">
      <c r="A1141" s="334"/>
      <c r="B1141" s="610"/>
      <c r="C1141" s="365"/>
      <c r="D1141" s="364"/>
      <c r="E1141" s="363"/>
      <c r="F1141" s="363"/>
      <c r="G1141" s="364"/>
      <c r="H1141" s="363"/>
      <c r="I1141" s="363"/>
      <c r="J1141" s="364"/>
      <c r="K1141" s="363"/>
      <c r="L1141" s="363"/>
      <c r="M1141" s="737"/>
      <c r="N1141" s="332"/>
      <c r="O1141" s="332"/>
      <c r="P1141" s="332"/>
      <c r="Q1141" s="332"/>
      <c r="R1141" s="332"/>
      <c r="S1141" s="332"/>
      <c r="T1141" s="332"/>
    </row>
    <row r="1142" spans="1:20" x14ac:dyDescent="0.6">
      <c r="A1142" s="334"/>
      <c r="B1142" s="610"/>
      <c r="C1142" s="365"/>
      <c r="D1142" s="364"/>
      <c r="E1142" s="363"/>
      <c r="F1142" s="363"/>
      <c r="G1142" s="364"/>
      <c r="H1142" s="363"/>
      <c r="I1142" s="363"/>
      <c r="J1142" s="364"/>
      <c r="K1142" s="363"/>
      <c r="L1142" s="363"/>
      <c r="M1142" s="737"/>
      <c r="N1142" s="332"/>
      <c r="O1142" s="332"/>
      <c r="P1142" s="332"/>
      <c r="Q1142" s="332"/>
      <c r="R1142" s="332"/>
      <c r="S1142" s="332"/>
      <c r="T1142" s="332"/>
    </row>
    <row r="1143" spans="1:20" x14ac:dyDescent="0.6">
      <c r="A1143" s="334"/>
      <c r="B1143" s="610"/>
      <c r="C1143" s="365"/>
      <c r="D1143" s="364"/>
      <c r="E1143" s="363"/>
      <c r="F1143" s="363"/>
      <c r="G1143" s="364"/>
      <c r="H1143" s="363"/>
      <c r="I1143" s="363"/>
      <c r="J1143" s="364"/>
      <c r="K1143" s="363"/>
      <c r="L1143" s="363"/>
      <c r="M1143" s="737"/>
      <c r="N1143" s="332"/>
      <c r="O1143" s="332"/>
      <c r="P1143" s="332"/>
      <c r="Q1143" s="332"/>
      <c r="R1143" s="332"/>
      <c r="S1143" s="332"/>
      <c r="T1143" s="332"/>
    </row>
    <row r="1144" spans="1:20" x14ac:dyDescent="0.6">
      <c r="A1144" s="334"/>
      <c r="B1144" s="610"/>
      <c r="C1144" s="365"/>
      <c r="D1144" s="364"/>
      <c r="E1144" s="363"/>
      <c r="F1144" s="363"/>
      <c r="G1144" s="364"/>
      <c r="H1144" s="363"/>
      <c r="I1144" s="363"/>
      <c r="J1144" s="364"/>
      <c r="K1144" s="363"/>
      <c r="L1144" s="363"/>
      <c r="M1144" s="737"/>
      <c r="N1144" s="332"/>
      <c r="O1144" s="332"/>
      <c r="P1144" s="332"/>
      <c r="Q1144" s="332"/>
      <c r="R1144" s="332"/>
      <c r="S1144" s="332"/>
      <c r="T1144" s="332"/>
    </row>
    <row r="1145" spans="1:20" x14ac:dyDescent="0.6">
      <c r="A1145" s="334"/>
      <c r="B1145" s="610"/>
      <c r="C1145" s="365"/>
      <c r="D1145" s="364"/>
      <c r="E1145" s="363"/>
      <c r="F1145" s="363"/>
      <c r="G1145" s="364"/>
      <c r="H1145" s="363"/>
      <c r="I1145" s="363"/>
      <c r="J1145" s="364"/>
      <c r="K1145" s="363"/>
      <c r="L1145" s="363"/>
      <c r="M1145" s="737"/>
      <c r="N1145" s="332"/>
      <c r="O1145" s="332"/>
      <c r="P1145" s="332"/>
      <c r="Q1145" s="332"/>
      <c r="R1145" s="332"/>
      <c r="S1145" s="332"/>
      <c r="T1145" s="332"/>
    </row>
    <row r="1146" spans="1:20" x14ac:dyDescent="0.6">
      <c r="A1146" s="334"/>
      <c r="B1146" s="610"/>
      <c r="C1146" s="365"/>
      <c r="D1146" s="364"/>
      <c r="E1146" s="363"/>
      <c r="F1146" s="363"/>
      <c r="G1146" s="364"/>
      <c r="H1146" s="363"/>
      <c r="I1146" s="363"/>
      <c r="J1146" s="364"/>
      <c r="K1146" s="363"/>
      <c r="L1146" s="363"/>
      <c r="M1146" s="737"/>
      <c r="N1146" s="332"/>
      <c r="O1146" s="332"/>
      <c r="P1146" s="332"/>
      <c r="Q1146" s="332"/>
      <c r="R1146" s="332"/>
      <c r="S1146" s="332"/>
      <c r="T1146" s="332"/>
    </row>
    <row r="1147" spans="1:20" x14ac:dyDescent="0.6">
      <c r="A1147" s="334"/>
      <c r="B1147" s="610"/>
      <c r="C1147" s="365"/>
      <c r="D1147" s="364"/>
      <c r="E1147" s="363"/>
      <c r="F1147" s="363"/>
      <c r="G1147" s="364"/>
      <c r="H1147" s="363"/>
      <c r="I1147" s="363"/>
      <c r="J1147" s="364"/>
      <c r="K1147" s="363"/>
      <c r="L1147" s="363"/>
      <c r="M1147" s="737"/>
      <c r="N1147" s="332"/>
      <c r="O1147" s="332"/>
      <c r="P1147" s="332"/>
      <c r="Q1147" s="332"/>
      <c r="R1147" s="332"/>
      <c r="S1147" s="332"/>
      <c r="T1147" s="332"/>
    </row>
    <row r="1148" spans="1:20" x14ac:dyDescent="0.6">
      <c r="A1148" s="334"/>
      <c r="B1148" s="610"/>
      <c r="C1148" s="365"/>
      <c r="D1148" s="364"/>
      <c r="E1148" s="363"/>
      <c r="F1148" s="363"/>
      <c r="G1148" s="364"/>
      <c r="H1148" s="363"/>
      <c r="I1148" s="363"/>
      <c r="J1148" s="364"/>
      <c r="K1148" s="363"/>
      <c r="L1148" s="363"/>
      <c r="M1148" s="737"/>
      <c r="N1148" s="332"/>
      <c r="O1148" s="332"/>
      <c r="P1148" s="332"/>
      <c r="Q1148" s="332"/>
      <c r="R1148" s="332"/>
      <c r="S1148" s="332"/>
      <c r="T1148" s="332"/>
    </row>
    <row r="1149" spans="1:20" x14ac:dyDescent="0.6">
      <c r="A1149" s="334"/>
      <c r="B1149" s="610"/>
      <c r="C1149" s="365"/>
      <c r="D1149" s="364"/>
      <c r="E1149" s="363"/>
      <c r="F1149" s="363"/>
      <c r="G1149" s="364"/>
      <c r="H1149" s="363"/>
      <c r="I1149" s="363"/>
      <c r="J1149" s="364"/>
      <c r="K1149" s="363"/>
      <c r="L1149" s="363"/>
      <c r="M1149" s="737"/>
      <c r="N1149" s="332"/>
      <c r="O1149" s="332"/>
      <c r="P1149" s="332"/>
      <c r="Q1149" s="332"/>
      <c r="R1149" s="332"/>
      <c r="S1149" s="332"/>
      <c r="T1149" s="332"/>
    </row>
    <row r="1150" spans="1:20" x14ac:dyDescent="0.6">
      <c r="A1150" s="334"/>
      <c r="B1150" s="610"/>
      <c r="C1150" s="365"/>
      <c r="D1150" s="364"/>
      <c r="E1150" s="363"/>
      <c r="F1150" s="363"/>
      <c r="G1150" s="364"/>
      <c r="H1150" s="363"/>
      <c r="I1150" s="363"/>
      <c r="J1150" s="364"/>
      <c r="K1150" s="363"/>
      <c r="L1150" s="363"/>
      <c r="M1150" s="737"/>
      <c r="N1150" s="332"/>
      <c r="O1150" s="332"/>
      <c r="P1150" s="332"/>
      <c r="Q1150" s="332"/>
      <c r="R1150" s="332"/>
      <c r="S1150" s="332"/>
      <c r="T1150" s="332"/>
    </row>
    <row r="1151" spans="1:20" x14ac:dyDescent="0.6">
      <c r="A1151" s="334"/>
      <c r="B1151" s="610"/>
      <c r="C1151" s="365"/>
      <c r="D1151" s="364"/>
      <c r="E1151" s="363"/>
      <c r="F1151" s="363"/>
      <c r="G1151" s="364"/>
      <c r="H1151" s="363"/>
      <c r="I1151" s="363"/>
      <c r="J1151" s="364"/>
      <c r="K1151" s="363"/>
      <c r="L1151" s="363"/>
      <c r="M1151" s="737"/>
      <c r="N1151" s="332"/>
      <c r="O1151" s="332"/>
      <c r="P1151" s="332"/>
      <c r="Q1151" s="332"/>
      <c r="R1151" s="332"/>
      <c r="S1151" s="332"/>
      <c r="T1151" s="332"/>
    </row>
    <row r="1152" spans="1:20" x14ac:dyDescent="0.6">
      <c r="A1152" s="334"/>
      <c r="B1152" s="610"/>
      <c r="C1152" s="365"/>
      <c r="D1152" s="364"/>
      <c r="E1152" s="363"/>
      <c r="F1152" s="363"/>
      <c r="G1152" s="364"/>
      <c r="H1152" s="363"/>
      <c r="I1152" s="363"/>
      <c r="J1152" s="364"/>
      <c r="K1152" s="363"/>
      <c r="L1152" s="363"/>
      <c r="M1152" s="737"/>
      <c r="N1152" s="332"/>
      <c r="O1152" s="332"/>
      <c r="P1152" s="332"/>
      <c r="Q1152" s="332"/>
      <c r="R1152" s="332"/>
      <c r="S1152" s="332"/>
      <c r="T1152" s="332"/>
    </row>
    <row r="1153" spans="1:20" x14ac:dyDescent="0.6">
      <c r="A1153" s="334"/>
      <c r="B1153" s="610"/>
      <c r="C1153" s="365"/>
      <c r="D1153" s="364"/>
      <c r="E1153" s="363"/>
      <c r="F1153" s="363"/>
      <c r="G1153" s="364"/>
      <c r="H1153" s="363"/>
      <c r="I1153" s="363"/>
      <c r="J1153" s="364"/>
      <c r="K1153" s="363"/>
      <c r="L1153" s="363"/>
      <c r="M1153" s="737"/>
      <c r="N1153" s="332"/>
      <c r="O1153" s="332"/>
      <c r="P1153" s="332"/>
      <c r="Q1153" s="332"/>
      <c r="R1153" s="332"/>
      <c r="S1153" s="332"/>
      <c r="T1153" s="332"/>
    </row>
    <row r="1154" spans="1:20" x14ac:dyDescent="0.6">
      <c r="A1154" s="334"/>
      <c r="B1154" s="610"/>
      <c r="C1154" s="365"/>
      <c r="D1154" s="364"/>
      <c r="E1154" s="363"/>
      <c r="F1154" s="363"/>
      <c r="G1154" s="364"/>
      <c r="H1154" s="363"/>
      <c r="I1154" s="363"/>
      <c r="J1154" s="364"/>
      <c r="K1154" s="363"/>
      <c r="L1154" s="363"/>
      <c r="M1154" s="737"/>
      <c r="N1154" s="332"/>
      <c r="O1154" s="332"/>
      <c r="P1154" s="332"/>
      <c r="Q1154" s="332"/>
      <c r="R1154" s="332"/>
      <c r="S1154" s="332"/>
      <c r="T1154" s="332"/>
    </row>
    <row r="1155" spans="1:20" x14ac:dyDescent="0.6">
      <c r="A1155" s="334"/>
      <c r="B1155" s="610"/>
      <c r="C1155" s="365"/>
      <c r="D1155" s="364"/>
      <c r="E1155" s="363"/>
      <c r="F1155" s="363"/>
      <c r="G1155" s="364"/>
      <c r="H1155" s="363"/>
      <c r="I1155" s="363"/>
      <c r="J1155" s="364"/>
      <c r="K1155" s="363"/>
      <c r="L1155" s="363"/>
      <c r="M1155" s="737"/>
      <c r="N1155" s="332"/>
      <c r="O1155" s="332"/>
      <c r="P1155" s="332"/>
      <c r="Q1155" s="332"/>
      <c r="R1155" s="332"/>
      <c r="S1155" s="332"/>
      <c r="T1155" s="332"/>
    </row>
    <row r="1156" spans="1:20" x14ac:dyDescent="0.6">
      <c r="A1156" s="334"/>
      <c r="B1156" s="610"/>
      <c r="C1156" s="365"/>
      <c r="D1156" s="364"/>
      <c r="E1156" s="363"/>
      <c r="F1156" s="363"/>
      <c r="G1156" s="364"/>
      <c r="H1156" s="363"/>
      <c r="I1156" s="363"/>
      <c r="J1156" s="364"/>
      <c r="K1156" s="363"/>
      <c r="L1156" s="363"/>
      <c r="M1156" s="737"/>
      <c r="N1156" s="332"/>
      <c r="O1156" s="332"/>
      <c r="P1156" s="332"/>
      <c r="Q1156" s="332"/>
      <c r="R1156" s="332"/>
      <c r="S1156" s="332"/>
      <c r="T1156" s="332"/>
    </row>
    <row r="1157" spans="1:20" x14ac:dyDescent="0.6">
      <c r="A1157" s="334"/>
      <c r="B1157" s="610"/>
      <c r="C1157" s="365"/>
      <c r="D1157" s="364"/>
      <c r="E1157" s="363"/>
      <c r="F1157" s="363"/>
      <c r="G1157" s="364"/>
      <c r="H1157" s="363"/>
      <c r="I1157" s="363"/>
      <c r="J1157" s="364"/>
      <c r="K1157" s="363"/>
      <c r="L1157" s="363"/>
      <c r="M1157" s="737"/>
      <c r="N1157" s="332"/>
      <c r="O1157" s="332"/>
      <c r="P1157" s="332"/>
      <c r="Q1157" s="332"/>
      <c r="R1157" s="332"/>
      <c r="S1157" s="332"/>
      <c r="T1157" s="332"/>
    </row>
    <row r="1158" spans="1:20" x14ac:dyDescent="0.6">
      <c r="A1158" s="334"/>
      <c r="B1158" s="610"/>
      <c r="C1158" s="365"/>
      <c r="D1158" s="364"/>
      <c r="E1158" s="363"/>
      <c r="F1158" s="363"/>
      <c r="G1158" s="364"/>
      <c r="H1158" s="363"/>
      <c r="I1158" s="363"/>
      <c r="J1158" s="364"/>
      <c r="K1158" s="363"/>
      <c r="L1158" s="363"/>
      <c r="M1158" s="737"/>
      <c r="N1158" s="332"/>
      <c r="O1158" s="332"/>
      <c r="P1158" s="332"/>
      <c r="Q1158" s="332"/>
      <c r="R1158" s="332"/>
      <c r="S1158" s="332"/>
      <c r="T1158" s="332"/>
    </row>
    <row r="1159" spans="1:20" x14ac:dyDescent="0.6">
      <c r="A1159" s="334"/>
      <c r="B1159" s="610"/>
      <c r="C1159" s="365"/>
      <c r="D1159" s="364"/>
      <c r="E1159" s="363"/>
      <c r="F1159" s="363"/>
      <c r="G1159" s="364"/>
      <c r="H1159" s="363"/>
      <c r="I1159" s="363"/>
      <c r="J1159" s="364"/>
      <c r="K1159" s="363"/>
      <c r="L1159" s="363"/>
      <c r="M1159" s="737"/>
      <c r="N1159" s="332"/>
      <c r="O1159" s="332"/>
      <c r="P1159" s="332"/>
      <c r="Q1159" s="332"/>
      <c r="R1159" s="332"/>
      <c r="S1159" s="332"/>
      <c r="T1159" s="332"/>
    </row>
    <row r="1160" spans="1:20" x14ac:dyDescent="0.6">
      <c r="A1160" s="334"/>
      <c r="B1160" s="610"/>
      <c r="C1160" s="365"/>
      <c r="D1160" s="364"/>
      <c r="E1160" s="363"/>
      <c r="F1160" s="363"/>
      <c r="G1160" s="364"/>
      <c r="H1160" s="363"/>
      <c r="I1160" s="363"/>
      <c r="J1160" s="364"/>
      <c r="K1160" s="363"/>
      <c r="L1160" s="363"/>
      <c r="M1160" s="737"/>
      <c r="N1160" s="332"/>
      <c r="O1160" s="332"/>
      <c r="P1160" s="332"/>
      <c r="Q1160" s="332"/>
      <c r="R1160" s="332"/>
      <c r="S1160" s="332"/>
      <c r="T1160" s="332"/>
    </row>
    <row r="1161" spans="1:20" x14ac:dyDescent="0.6">
      <c r="A1161" s="334"/>
      <c r="B1161" s="610"/>
      <c r="C1161" s="365"/>
      <c r="D1161" s="364"/>
      <c r="E1161" s="363"/>
      <c r="F1161" s="363"/>
      <c r="G1161" s="364"/>
      <c r="H1161" s="363"/>
      <c r="I1161" s="363"/>
      <c r="J1161" s="364"/>
      <c r="K1161" s="363"/>
      <c r="L1161" s="363"/>
      <c r="M1161" s="737"/>
      <c r="N1161" s="332"/>
      <c r="O1161" s="332"/>
      <c r="P1161" s="332"/>
      <c r="Q1161" s="332"/>
      <c r="R1161" s="332"/>
      <c r="S1161" s="332"/>
      <c r="T1161" s="332"/>
    </row>
    <row r="1162" spans="1:20" x14ac:dyDescent="0.6">
      <c r="A1162" s="334"/>
      <c r="B1162" s="610"/>
      <c r="C1162" s="365"/>
      <c r="D1162" s="364"/>
      <c r="E1162" s="363"/>
      <c r="F1162" s="363"/>
      <c r="G1162" s="364"/>
      <c r="H1162" s="363"/>
      <c r="I1162" s="363"/>
      <c r="J1162" s="364"/>
      <c r="K1162" s="363"/>
      <c r="L1162" s="363"/>
      <c r="M1162" s="737"/>
      <c r="N1162" s="332"/>
      <c r="O1162" s="332"/>
      <c r="P1162" s="332"/>
      <c r="Q1162" s="332"/>
      <c r="R1162" s="332"/>
      <c r="S1162" s="332"/>
      <c r="T1162" s="332"/>
    </row>
    <row r="1163" spans="1:20" x14ac:dyDescent="0.6">
      <c r="A1163" s="334"/>
      <c r="B1163" s="610"/>
      <c r="C1163" s="365"/>
      <c r="D1163" s="364"/>
      <c r="E1163" s="363"/>
      <c r="F1163" s="363"/>
      <c r="G1163" s="364"/>
      <c r="H1163" s="363"/>
      <c r="I1163" s="363"/>
      <c r="J1163" s="364"/>
      <c r="K1163" s="363"/>
      <c r="L1163" s="363"/>
      <c r="M1163" s="737"/>
      <c r="N1163" s="332"/>
      <c r="O1163" s="332"/>
      <c r="P1163" s="332"/>
      <c r="Q1163" s="332"/>
      <c r="R1163" s="332"/>
      <c r="S1163" s="332"/>
      <c r="T1163" s="332"/>
    </row>
    <row r="1164" spans="1:20" x14ac:dyDescent="0.6">
      <c r="A1164" s="334"/>
      <c r="B1164" s="610"/>
      <c r="C1164" s="365"/>
      <c r="D1164" s="364"/>
      <c r="E1164" s="363"/>
      <c r="F1164" s="363"/>
      <c r="G1164" s="364"/>
      <c r="H1164" s="363"/>
      <c r="I1164" s="363"/>
      <c r="J1164" s="364"/>
      <c r="K1164" s="363"/>
      <c r="L1164" s="363"/>
      <c r="M1164" s="737"/>
      <c r="N1164" s="332"/>
      <c r="O1164" s="332"/>
      <c r="P1164" s="332"/>
      <c r="Q1164" s="332"/>
      <c r="R1164" s="332"/>
      <c r="S1164" s="332"/>
      <c r="T1164" s="332"/>
    </row>
    <row r="1165" spans="1:20" x14ac:dyDescent="0.6">
      <c r="A1165" s="334"/>
      <c r="B1165" s="610"/>
      <c r="C1165" s="365"/>
      <c r="D1165" s="364"/>
      <c r="E1165" s="363"/>
      <c r="F1165" s="363"/>
      <c r="G1165" s="364"/>
      <c r="H1165" s="363"/>
      <c r="I1165" s="363"/>
      <c r="J1165" s="364"/>
      <c r="K1165" s="363"/>
      <c r="L1165" s="363"/>
      <c r="M1165" s="737"/>
      <c r="N1165" s="332"/>
      <c r="O1165" s="332"/>
      <c r="P1165" s="332"/>
      <c r="Q1165" s="332"/>
      <c r="R1165" s="332"/>
      <c r="S1165" s="332"/>
      <c r="T1165" s="332"/>
    </row>
    <row r="1166" spans="1:20" x14ac:dyDescent="0.6">
      <c r="A1166" s="334"/>
      <c r="B1166" s="610"/>
      <c r="C1166" s="365"/>
      <c r="D1166" s="364"/>
      <c r="E1166" s="363"/>
      <c r="F1166" s="363"/>
      <c r="G1166" s="364"/>
      <c r="H1166" s="363"/>
      <c r="I1166" s="363"/>
      <c r="J1166" s="364"/>
      <c r="K1166" s="363"/>
      <c r="L1166" s="363"/>
      <c r="M1166" s="737"/>
      <c r="N1166" s="332"/>
      <c r="O1166" s="332"/>
      <c r="P1166" s="332"/>
      <c r="Q1166" s="332"/>
      <c r="R1166" s="332"/>
      <c r="S1166" s="332"/>
      <c r="T1166" s="332"/>
    </row>
    <row r="1167" spans="1:20" x14ac:dyDescent="0.6">
      <c r="A1167" s="334"/>
      <c r="B1167" s="610"/>
      <c r="C1167" s="365"/>
      <c r="D1167" s="364"/>
      <c r="E1167" s="363"/>
      <c r="F1167" s="363"/>
      <c r="G1167" s="364"/>
      <c r="H1167" s="363"/>
      <c r="I1167" s="363"/>
      <c r="J1167" s="364"/>
      <c r="K1167" s="363"/>
      <c r="L1167" s="363"/>
      <c r="M1167" s="737"/>
      <c r="N1167" s="332"/>
      <c r="O1167" s="332"/>
      <c r="P1167" s="332"/>
      <c r="Q1167" s="332"/>
      <c r="R1167" s="332"/>
      <c r="S1167" s="332"/>
      <c r="T1167" s="332"/>
    </row>
    <row r="1168" spans="1:20" x14ac:dyDescent="0.6">
      <c r="A1168" s="334"/>
      <c r="B1168" s="610"/>
      <c r="C1168" s="365"/>
      <c r="D1168" s="364"/>
      <c r="E1168" s="363"/>
      <c r="F1168" s="363"/>
      <c r="G1168" s="364"/>
      <c r="H1168" s="363"/>
      <c r="I1168" s="363"/>
      <c r="J1168" s="364"/>
      <c r="K1168" s="363"/>
      <c r="L1168" s="363"/>
      <c r="M1168" s="737"/>
      <c r="N1168" s="332"/>
      <c r="O1168" s="332"/>
      <c r="P1168" s="332"/>
      <c r="Q1168" s="332"/>
      <c r="R1168" s="332"/>
      <c r="S1168" s="332"/>
      <c r="T1168" s="332"/>
    </row>
    <row r="1169" spans="1:20" x14ac:dyDescent="0.6">
      <c r="A1169" s="334"/>
      <c r="B1169" s="610"/>
      <c r="C1169" s="365"/>
      <c r="D1169" s="364"/>
      <c r="E1169" s="363"/>
      <c r="F1169" s="363"/>
      <c r="G1169" s="364"/>
      <c r="H1169" s="363"/>
      <c r="I1169" s="363"/>
      <c r="J1169" s="364"/>
      <c r="K1169" s="363"/>
      <c r="L1169" s="363"/>
      <c r="M1169" s="737"/>
      <c r="N1169" s="332"/>
      <c r="O1169" s="332"/>
      <c r="P1169" s="332"/>
      <c r="Q1169" s="332"/>
      <c r="R1169" s="332"/>
      <c r="S1169" s="332"/>
      <c r="T1169" s="332"/>
    </row>
    <row r="1170" spans="1:20" x14ac:dyDescent="0.6">
      <c r="A1170" s="334"/>
      <c r="B1170" s="610"/>
      <c r="C1170" s="365"/>
      <c r="D1170" s="364"/>
      <c r="E1170" s="363"/>
      <c r="F1170" s="363"/>
      <c r="G1170" s="364"/>
      <c r="H1170" s="363"/>
      <c r="I1170" s="363"/>
      <c r="J1170" s="364"/>
      <c r="K1170" s="363"/>
      <c r="L1170" s="363"/>
      <c r="M1170" s="737"/>
      <c r="N1170" s="332"/>
      <c r="O1170" s="332"/>
      <c r="P1170" s="332"/>
      <c r="Q1170" s="332"/>
      <c r="R1170" s="332"/>
      <c r="S1170" s="332"/>
      <c r="T1170" s="332"/>
    </row>
    <row r="1171" spans="1:20" x14ac:dyDescent="0.6">
      <c r="A1171" s="334"/>
      <c r="B1171" s="610"/>
      <c r="C1171" s="365"/>
      <c r="D1171" s="364"/>
      <c r="E1171" s="363"/>
      <c r="F1171" s="363"/>
      <c r="G1171" s="364"/>
      <c r="H1171" s="363"/>
      <c r="I1171" s="363"/>
      <c r="J1171" s="364"/>
      <c r="K1171" s="363"/>
      <c r="L1171" s="363"/>
      <c r="M1171" s="737"/>
      <c r="N1171" s="332"/>
      <c r="O1171" s="332"/>
      <c r="P1171" s="332"/>
      <c r="Q1171" s="332"/>
      <c r="R1171" s="332"/>
      <c r="S1171" s="332"/>
      <c r="T1171" s="332"/>
    </row>
    <row r="1172" spans="1:20" x14ac:dyDescent="0.6">
      <c r="A1172" s="334"/>
      <c r="B1172" s="610"/>
      <c r="C1172" s="365"/>
      <c r="D1172" s="364"/>
      <c r="E1172" s="363"/>
      <c r="F1172" s="363"/>
      <c r="G1172" s="364"/>
      <c r="H1172" s="363"/>
      <c r="I1172" s="363"/>
      <c r="J1172" s="364"/>
      <c r="K1172" s="363"/>
      <c r="L1172" s="363"/>
      <c r="M1172" s="737"/>
      <c r="N1172" s="332"/>
      <c r="O1172" s="332"/>
      <c r="P1172" s="332"/>
      <c r="Q1172" s="332"/>
      <c r="R1172" s="332"/>
      <c r="S1172" s="332"/>
      <c r="T1172" s="332"/>
    </row>
    <row r="1173" spans="1:20" x14ac:dyDescent="0.6">
      <c r="A1173" s="334"/>
      <c r="B1173" s="610"/>
      <c r="C1173" s="365"/>
      <c r="D1173" s="364"/>
      <c r="E1173" s="363"/>
      <c r="F1173" s="363"/>
      <c r="G1173" s="364"/>
      <c r="H1173" s="363"/>
      <c r="I1173" s="363"/>
      <c r="J1173" s="364"/>
      <c r="K1173" s="363"/>
      <c r="L1173" s="363"/>
      <c r="M1173" s="737"/>
      <c r="N1173" s="332"/>
      <c r="O1173" s="332"/>
      <c r="P1173" s="332"/>
      <c r="Q1173" s="332"/>
      <c r="R1173" s="332"/>
      <c r="S1173" s="332"/>
      <c r="T1173" s="332"/>
    </row>
    <row r="1174" spans="1:20" x14ac:dyDescent="0.6">
      <c r="A1174" s="334"/>
      <c r="B1174" s="610"/>
      <c r="C1174" s="365"/>
      <c r="D1174" s="364"/>
      <c r="E1174" s="363"/>
      <c r="F1174" s="363"/>
      <c r="G1174" s="364"/>
      <c r="H1174" s="363"/>
      <c r="I1174" s="363"/>
      <c r="J1174" s="364"/>
      <c r="K1174" s="363"/>
      <c r="L1174" s="363"/>
      <c r="M1174" s="737"/>
      <c r="N1174" s="332"/>
      <c r="O1174" s="332"/>
      <c r="P1174" s="332"/>
      <c r="Q1174" s="332"/>
      <c r="R1174" s="332"/>
      <c r="S1174" s="332"/>
      <c r="T1174" s="332"/>
    </row>
    <row r="1175" spans="1:20" x14ac:dyDescent="0.6">
      <c r="A1175" s="334"/>
      <c r="B1175" s="610"/>
      <c r="C1175" s="365"/>
      <c r="D1175" s="364"/>
      <c r="E1175" s="363"/>
      <c r="F1175" s="363"/>
      <c r="G1175" s="364"/>
      <c r="H1175" s="363"/>
      <c r="I1175" s="363"/>
      <c r="J1175" s="364"/>
      <c r="K1175" s="363"/>
      <c r="L1175" s="363"/>
      <c r="M1175" s="737"/>
      <c r="N1175" s="332"/>
      <c r="O1175" s="332"/>
      <c r="P1175" s="332"/>
      <c r="Q1175" s="332"/>
      <c r="R1175" s="332"/>
      <c r="S1175" s="332"/>
      <c r="T1175" s="332"/>
    </row>
    <row r="1176" spans="1:20" x14ac:dyDescent="0.6">
      <c r="A1176" s="334"/>
      <c r="B1176" s="610"/>
      <c r="C1176" s="365"/>
      <c r="D1176" s="364"/>
      <c r="E1176" s="363"/>
      <c r="F1176" s="363"/>
      <c r="G1176" s="364"/>
      <c r="H1176" s="363"/>
      <c r="I1176" s="363"/>
      <c r="J1176" s="364"/>
      <c r="K1176" s="363"/>
      <c r="L1176" s="363"/>
      <c r="M1176" s="737"/>
      <c r="N1176" s="332"/>
      <c r="O1176" s="332"/>
      <c r="P1176" s="332"/>
      <c r="Q1176" s="332"/>
      <c r="R1176" s="332"/>
      <c r="S1176" s="332"/>
      <c r="T1176" s="332"/>
    </row>
    <row r="1177" spans="1:20" x14ac:dyDescent="0.6">
      <c r="A1177" s="334"/>
      <c r="B1177" s="610"/>
      <c r="C1177" s="365"/>
      <c r="D1177" s="364"/>
      <c r="E1177" s="363"/>
      <c r="F1177" s="363"/>
      <c r="G1177" s="364"/>
      <c r="H1177" s="363"/>
      <c r="I1177" s="363"/>
      <c r="J1177" s="364"/>
      <c r="K1177" s="363"/>
      <c r="L1177" s="363"/>
      <c r="M1177" s="737"/>
      <c r="N1177" s="332"/>
      <c r="O1177" s="332"/>
      <c r="P1177" s="332"/>
      <c r="Q1177" s="332"/>
      <c r="R1177" s="332"/>
      <c r="S1177" s="332"/>
      <c r="T1177" s="332"/>
    </row>
    <row r="1178" spans="1:20" x14ac:dyDescent="0.6">
      <c r="A1178" s="334"/>
      <c r="B1178" s="610"/>
      <c r="C1178" s="365"/>
      <c r="D1178" s="364"/>
      <c r="E1178" s="363"/>
      <c r="F1178" s="363"/>
      <c r="G1178" s="364"/>
      <c r="H1178" s="363"/>
      <c r="I1178" s="363"/>
      <c r="J1178" s="364"/>
      <c r="K1178" s="363"/>
      <c r="L1178" s="363"/>
      <c r="M1178" s="737"/>
      <c r="N1178" s="332"/>
      <c r="O1178" s="332"/>
      <c r="P1178" s="332"/>
      <c r="Q1178" s="332"/>
      <c r="R1178" s="332"/>
      <c r="S1178" s="332"/>
      <c r="T1178" s="332"/>
    </row>
    <row r="1179" spans="1:20" x14ac:dyDescent="0.6">
      <c r="A1179" s="334"/>
      <c r="B1179" s="610"/>
      <c r="C1179" s="365"/>
      <c r="D1179" s="364"/>
      <c r="E1179" s="363"/>
      <c r="F1179" s="363"/>
      <c r="G1179" s="364"/>
      <c r="H1179" s="363"/>
      <c r="I1179" s="363"/>
      <c r="J1179" s="364"/>
      <c r="K1179" s="363"/>
      <c r="L1179" s="363"/>
      <c r="M1179" s="737"/>
      <c r="N1179" s="332"/>
      <c r="O1179" s="332"/>
      <c r="P1179" s="332"/>
      <c r="Q1179" s="332"/>
      <c r="R1179" s="332"/>
      <c r="S1179" s="332"/>
      <c r="T1179" s="332"/>
    </row>
    <row r="1180" spans="1:20" x14ac:dyDescent="0.6">
      <c r="A1180" s="334"/>
      <c r="B1180" s="610"/>
      <c r="C1180" s="365"/>
      <c r="D1180" s="364"/>
      <c r="E1180" s="363"/>
      <c r="F1180" s="363"/>
      <c r="G1180" s="364"/>
      <c r="H1180" s="363"/>
      <c r="I1180" s="363"/>
      <c r="J1180" s="364"/>
      <c r="K1180" s="363"/>
      <c r="L1180" s="363"/>
      <c r="M1180" s="737"/>
      <c r="N1180" s="332"/>
      <c r="O1180" s="332"/>
      <c r="P1180" s="332"/>
      <c r="Q1180" s="332"/>
      <c r="R1180" s="332"/>
      <c r="S1180" s="332"/>
      <c r="T1180" s="332"/>
    </row>
    <row r="1181" spans="1:20" x14ac:dyDescent="0.6">
      <c r="A1181" s="334"/>
      <c r="B1181" s="610"/>
      <c r="C1181" s="365"/>
      <c r="D1181" s="364"/>
      <c r="E1181" s="363"/>
      <c r="F1181" s="363"/>
      <c r="G1181" s="364"/>
      <c r="H1181" s="363"/>
      <c r="I1181" s="363"/>
      <c r="J1181" s="364"/>
      <c r="K1181" s="363"/>
      <c r="L1181" s="363"/>
      <c r="M1181" s="737"/>
      <c r="N1181" s="332"/>
      <c r="O1181" s="332"/>
      <c r="P1181" s="332"/>
      <c r="Q1181" s="332"/>
      <c r="R1181" s="332"/>
      <c r="S1181" s="332"/>
      <c r="T1181" s="332"/>
    </row>
    <row r="1182" spans="1:20" x14ac:dyDescent="0.6">
      <c r="A1182" s="334"/>
      <c r="B1182" s="610"/>
      <c r="C1182" s="365"/>
      <c r="D1182" s="364"/>
      <c r="E1182" s="363"/>
      <c r="F1182" s="363"/>
      <c r="G1182" s="364"/>
      <c r="H1182" s="363"/>
      <c r="I1182" s="363"/>
      <c r="J1182" s="364"/>
      <c r="K1182" s="363"/>
      <c r="L1182" s="363"/>
      <c r="M1182" s="737"/>
      <c r="N1182" s="332"/>
      <c r="O1182" s="332"/>
      <c r="P1182" s="332"/>
      <c r="Q1182" s="332"/>
      <c r="R1182" s="332"/>
      <c r="S1182" s="332"/>
      <c r="T1182" s="332"/>
    </row>
    <row r="1183" spans="1:20" x14ac:dyDescent="0.6">
      <c r="A1183" s="334"/>
      <c r="B1183" s="610"/>
      <c r="C1183" s="365"/>
      <c r="D1183" s="364"/>
      <c r="E1183" s="363"/>
      <c r="F1183" s="363"/>
      <c r="G1183" s="364"/>
      <c r="H1183" s="363"/>
      <c r="I1183" s="363"/>
      <c r="J1183" s="364"/>
      <c r="K1183" s="363"/>
      <c r="L1183" s="363"/>
      <c r="M1183" s="737"/>
      <c r="N1183" s="332"/>
      <c r="O1183" s="332"/>
      <c r="P1183" s="332"/>
      <c r="Q1183" s="332"/>
      <c r="R1183" s="332"/>
      <c r="S1183" s="332"/>
      <c r="T1183" s="332"/>
    </row>
    <row r="1184" spans="1:20" x14ac:dyDescent="0.6">
      <c r="A1184" s="334"/>
      <c r="B1184" s="610"/>
      <c r="C1184" s="365"/>
      <c r="D1184" s="364"/>
      <c r="E1184" s="363"/>
      <c r="F1184" s="363"/>
      <c r="G1184" s="364"/>
      <c r="H1184" s="363"/>
      <c r="I1184" s="363"/>
      <c r="J1184" s="364"/>
      <c r="K1184" s="363"/>
      <c r="L1184" s="363"/>
      <c r="M1184" s="737"/>
      <c r="N1184" s="332"/>
      <c r="O1184" s="332"/>
      <c r="P1184" s="332"/>
      <c r="Q1184" s="332"/>
      <c r="R1184" s="332"/>
      <c r="S1184" s="332"/>
      <c r="T1184" s="332"/>
    </row>
    <row r="1185" spans="1:20" x14ac:dyDescent="0.6">
      <c r="A1185" s="334"/>
      <c r="B1185" s="610"/>
      <c r="C1185" s="365"/>
      <c r="D1185" s="364"/>
      <c r="E1185" s="363"/>
      <c r="F1185" s="363"/>
      <c r="G1185" s="364"/>
      <c r="H1185" s="363"/>
      <c r="I1185" s="363"/>
      <c r="J1185" s="364"/>
      <c r="K1185" s="363"/>
      <c r="L1185" s="363"/>
      <c r="M1185" s="737"/>
      <c r="N1185" s="332"/>
      <c r="O1185" s="332"/>
      <c r="P1185" s="332"/>
      <c r="Q1185" s="332"/>
      <c r="R1185" s="332"/>
      <c r="S1185" s="332"/>
      <c r="T1185" s="332"/>
    </row>
    <row r="1186" spans="1:20" x14ac:dyDescent="0.6">
      <c r="A1186" s="334"/>
      <c r="B1186" s="610"/>
      <c r="C1186" s="365"/>
      <c r="D1186" s="364"/>
      <c r="E1186" s="363"/>
      <c r="F1186" s="363"/>
      <c r="G1186" s="364"/>
      <c r="H1186" s="363"/>
      <c r="I1186" s="363"/>
      <c r="J1186" s="364"/>
      <c r="K1186" s="363"/>
      <c r="L1186" s="363"/>
      <c r="M1186" s="737"/>
      <c r="N1186" s="332"/>
      <c r="O1186" s="332"/>
      <c r="P1186" s="332"/>
      <c r="Q1186" s="332"/>
      <c r="R1186" s="332"/>
      <c r="S1186" s="332"/>
      <c r="T1186" s="332"/>
    </row>
    <row r="1187" spans="1:20" x14ac:dyDescent="0.6">
      <c r="A1187" s="334"/>
      <c r="B1187" s="610"/>
      <c r="C1187" s="365"/>
      <c r="D1187" s="364"/>
      <c r="E1187" s="363"/>
      <c r="F1187" s="363"/>
      <c r="G1187" s="364"/>
      <c r="H1187" s="363"/>
      <c r="I1187" s="363"/>
      <c r="J1187" s="364"/>
      <c r="K1187" s="363"/>
      <c r="L1187" s="363"/>
      <c r="M1187" s="737"/>
      <c r="N1187" s="332"/>
      <c r="O1187" s="332"/>
      <c r="P1187" s="332"/>
      <c r="Q1187" s="332"/>
      <c r="R1187" s="332"/>
      <c r="S1187" s="332"/>
      <c r="T1187" s="332"/>
    </row>
    <row r="1188" spans="1:20" x14ac:dyDescent="0.6">
      <c r="A1188" s="334"/>
      <c r="B1188" s="610"/>
      <c r="C1188" s="365"/>
      <c r="D1188" s="364"/>
      <c r="E1188" s="363"/>
      <c r="F1188" s="363"/>
      <c r="G1188" s="364"/>
      <c r="H1188" s="363"/>
      <c r="I1188" s="363"/>
      <c r="J1188" s="364"/>
      <c r="K1188" s="363"/>
      <c r="L1188" s="363"/>
      <c r="M1188" s="737"/>
      <c r="N1188" s="332"/>
      <c r="O1188" s="332"/>
      <c r="P1188" s="332"/>
      <c r="Q1188" s="332"/>
      <c r="R1188" s="332"/>
      <c r="S1188" s="332"/>
      <c r="T1188" s="332"/>
    </row>
    <row r="1189" spans="1:20" x14ac:dyDescent="0.6">
      <c r="A1189" s="334"/>
      <c r="B1189" s="610"/>
      <c r="C1189" s="365"/>
      <c r="D1189" s="364"/>
      <c r="E1189" s="363"/>
      <c r="F1189" s="363"/>
      <c r="G1189" s="364"/>
      <c r="H1189" s="363"/>
      <c r="I1189" s="363"/>
      <c r="J1189" s="364"/>
      <c r="K1189" s="363"/>
      <c r="L1189" s="363"/>
      <c r="M1189" s="737"/>
      <c r="N1189" s="332"/>
      <c r="O1189" s="332"/>
      <c r="P1189" s="332"/>
      <c r="Q1189" s="332"/>
      <c r="R1189" s="332"/>
      <c r="S1189" s="332"/>
      <c r="T1189" s="332"/>
    </row>
    <row r="1190" spans="1:20" x14ac:dyDescent="0.6">
      <c r="A1190" s="334"/>
      <c r="B1190" s="610"/>
      <c r="C1190" s="365"/>
      <c r="D1190" s="364"/>
      <c r="E1190" s="363"/>
      <c r="F1190" s="363"/>
      <c r="G1190" s="364"/>
      <c r="H1190" s="363"/>
      <c r="I1190" s="363"/>
      <c r="J1190" s="364"/>
      <c r="K1190" s="363"/>
      <c r="L1190" s="363"/>
      <c r="M1190" s="737"/>
      <c r="N1190" s="332"/>
      <c r="O1190" s="332"/>
      <c r="P1190" s="332"/>
      <c r="Q1190" s="332"/>
      <c r="R1190" s="332"/>
      <c r="S1190" s="332"/>
      <c r="T1190" s="332"/>
    </row>
    <row r="1191" spans="1:20" x14ac:dyDescent="0.6">
      <c r="A1191" s="334"/>
      <c r="B1191" s="610"/>
      <c r="C1191" s="365"/>
      <c r="D1191" s="364"/>
      <c r="E1191" s="363"/>
      <c r="F1191" s="363"/>
      <c r="G1191" s="364"/>
      <c r="H1191" s="363"/>
      <c r="I1191" s="363"/>
      <c r="J1191" s="364"/>
      <c r="K1191" s="363"/>
      <c r="L1191" s="363"/>
      <c r="M1191" s="737"/>
      <c r="N1191" s="332"/>
      <c r="O1191" s="332"/>
      <c r="P1191" s="332"/>
      <c r="Q1191" s="332"/>
      <c r="R1191" s="332"/>
      <c r="S1191" s="332"/>
      <c r="T1191" s="332"/>
    </row>
    <row r="1192" spans="1:20" x14ac:dyDescent="0.6">
      <c r="A1192" s="334"/>
      <c r="B1192" s="610"/>
      <c r="C1192" s="365"/>
      <c r="D1192" s="364"/>
      <c r="E1192" s="363"/>
      <c r="F1192" s="363"/>
      <c r="G1192" s="364"/>
      <c r="H1192" s="363"/>
      <c r="I1192" s="363"/>
      <c r="J1192" s="364"/>
      <c r="K1192" s="363"/>
      <c r="L1192" s="363"/>
      <c r="M1192" s="737"/>
      <c r="N1192" s="332"/>
      <c r="O1192" s="332"/>
      <c r="P1192" s="332"/>
      <c r="Q1192" s="332"/>
      <c r="R1192" s="332"/>
      <c r="S1192" s="332"/>
      <c r="T1192" s="332"/>
    </row>
    <row r="1193" spans="1:20" x14ac:dyDescent="0.6">
      <c r="A1193" s="334"/>
      <c r="B1193" s="610"/>
      <c r="C1193" s="365"/>
      <c r="D1193" s="364"/>
      <c r="E1193" s="363"/>
      <c r="F1193" s="363"/>
      <c r="G1193" s="364"/>
      <c r="H1193" s="363"/>
      <c r="I1193" s="363"/>
      <c r="J1193" s="364"/>
      <c r="K1193" s="363"/>
      <c r="L1193" s="363"/>
      <c r="M1193" s="737"/>
      <c r="N1193" s="332"/>
      <c r="O1193" s="332"/>
      <c r="P1193" s="332"/>
      <c r="Q1193" s="332"/>
      <c r="R1193" s="332"/>
      <c r="S1193" s="332"/>
      <c r="T1193" s="332"/>
    </row>
    <row r="1194" spans="1:20" x14ac:dyDescent="0.6">
      <c r="A1194" s="334"/>
      <c r="B1194" s="610"/>
      <c r="C1194" s="365"/>
      <c r="D1194" s="364"/>
      <c r="E1194" s="363"/>
      <c r="F1194" s="363"/>
      <c r="G1194" s="364"/>
      <c r="H1194" s="363"/>
      <c r="I1194" s="363"/>
      <c r="J1194" s="364"/>
      <c r="K1194" s="363"/>
      <c r="L1194" s="363"/>
      <c r="M1194" s="737"/>
      <c r="N1194" s="332"/>
      <c r="O1194" s="332"/>
      <c r="P1194" s="332"/>
      <c r="Q1194" s="332"/>
      <c r="R1194" s="332"/>
      <c r="S1194" s="332"/>
      <c r="T1194" s="332"/>
    </row>
    <row r="1195" spans="1:20" x14ac:dyDescent="0.6">
      <c r="A1195" s="334"/>
      <c r="B1195" s="610"/>
      <c r="C1195" s="365"/>
      <c r="D1195" s="364"/>
      <c r="E1195" s="363"/>
      <c r="F1195" s="363"/>
      <c r="G1195" s="364"/>
      <c r="H1195" s="363"/>
      <c r="I1195" s="363"/>
      <c r="J1195" s="364"/>
      <c r="K1195" s="363"/>
      <c r="L1195" s="363"/>
      <c r="M1195" s="737"/>
      <c r="N1195" s="332"/>
      <c r="O1195" s="332"/>
      <c r="P1195" s="332"/>
      <c r="Q1195" s="332"/>
      <c r="R1195" s="332"/>
      <c r="S1195" s="332"/>
      <c r="T1195" s="332"/>
    </row>
    <row r="1196" spans="1:20" x14ac:dyDescent="0.6">
      <c r="A1196" s="334"/>
      <c r="B1196" s="610"/>
      <c r="C1196" s="365"/>
      <c r="D1196" s="364"/>
      <c r="E1196" s="363"/>
      <c r="F1196" s="363"/>
      <c r="G1196" s="364"/>
      <c r="H1196" s="363"/>
      <c r="I1196" s="363"/>
      <c r="J1196" s="364"/>
      <c r="K1196" s="363"/>
      <c r="L1196" s="363"/>
      <c r="M1196" s="737"/>
      <c r="N1196" s="332"/>
      <c r="O1196" s="332"/>
      <c r="P1196" s="332"/>
      <c r="Q1196" s="332"/>
      <c r="R1196" s="332"/>
      <c r="S1196" s="332"/>
      <c r="T1196" s="332"/>
    </row>
    <row r="1197" spans="1:20" x14ac:dyDescent="0.6">
      <c r="A1197" s="334"/>
      <c r="B1197" s="610"/>
      <c r="C1197" s="365"/>
      <c r="D1197" s="364"/>
      <c r="E1197" s="363"/>
      <c r="F1197" s="363"/>
      <c r="G1197" s="364"/>
      <c r="H1197" s="363"/>
      <c r="I1197" s="363"/>
      <c r="J1197" s="364"/>
      <c r="K1197" s="363"/>
      <c r="L1197" s="363"/>
      <c r="M1197" s="737"/>
      <c r="N1197" s="332"/>
      <c r="O1197" s="332"/>
      <c r="P1197" s="332"/>
      <c r="Q1197" s="332"/>
      <c r="R1197" s="332"/>
      <c r="S1197" s="332"/>
      <c r="T1197" s="332"/>
    </row>
    <row r="1198" spans="1:20" x14ac:dyDescent="0.6">
      <c r="A1198" s="334"/>
      <c r="B1198" s="610"/>
      <c r="C1198" s="365"/>
      <c r="D1198" s="364"/>
      <c r="E1198" s="363"/>
      <c r="F1198" s="363"/>
      <c r="G1198" s="364"/>
      <c r="H1198" s="363"/>
      <c r="I1198" s="363"/>
      <c r="J1198" s="364"/>
      <c r="K1198" s="363"/>
      <c r="L1198" s="363"/>
      <c r="M1198" s="737"/>
      <c r="N1198" s="332"/>
      <c r="O1198" s="332"/>
      <c r="P1198" s="332"/>
      <c r="Q1198" s="332"/>
      <c r="R1198" s="332"/>
      <c r="S1198" s="332"/>
      <c r="T1198" s="332"/>
    </row>
    <row r="1199" spans="1:20" x14ac:dyDescent="0.6">
      <c r="A1199" s="334"/>
      <c r="B1199" s="610"/>
      <c r="C1199" s="365"/>
      <c r="D1199" s="364"/>
      <c r="E1199" s="363"/>
      <c r="F1199" s="363"/>
      <c r="G1199" s="364"/>
      <c r="H1199" s="363"/>
      <c r="I1199" s="363"/>
      <c r="J1199" s="364"/>
      <c r="K1199" s="363"/>
      <c r="L1199" s="363"/>
      <c r="M1199" s="737"/>
      <c r="N1199" s="332"/>
      <c r="O1199" s="332"/>
      <c r="P1199" s="332"/>
      <c r="Q1199" s="332"/>
      <c r="R1199" s="332"/>
      <c r="S1199" s="332"/>
      <c r="T1199" s="332"/>
    </row>
    <row r="1200" spans="1:20" x14ac:dyDescent="0.6">
      <c r="A1200" s="334"/>
      <c r="B1200" s="610"/>
      <c r="C1200" s="365"/>
      <c r="D1200" s="364"/>
      <c r="E1200" s="363"/>
      <c r="F1200" s="363"/>
      <c r="G1200" s="364"/>
      <c r="H1200" s="363"/>
      <c r="I1200" s="363"/>
      <c r="J1200" s="364"/>
      <c r="K1200" s="363"/>
      <c r="L1200" s="363"/>
      <c r="M1200" s="737"/>
      <c r="N1200" s="332"/>
      <c r="O1200" s="332"/>
      <c r="P1200" s="332"/>
      <c r="Q1200" s="332"/>
      <c r="R1200" s="332"/>
      <c r="S1200" s="332"/>
      <c r="T1200" s="332"/>
    </row>
    <row r="1201" spans="1:20" x14ac:dyDescent="0.6">
      <c r="A1201" s="334"/>
      <c r="B1201" s="610"/>
      <c r="C1201" s="365"/>
      <c r="D1201" s="364"/>
      <c r="E1201" s="363"/>
      <c r="F1201" s="363"/>
      <c r="G1201" s="364"/>
      <c r="H1201" s="363"/>
      <c r="I1201" s="363"/>
      <c r="J1201" s="364"/>
      <c r="K1201" s="363"/>
      <c r="L1201" s="363"/>
      <c r="M1201" s="737"/>
      <c r="N1201" s="332"/>
      <c r="O1201" s="332"/>
      <c r="P1201" s="332"/>
      <c r="Q1201" s="332"/>
      <c r="R1201" s="332"/>
      <c r="S1201" s="332"/>
      <c r="T1201" s="332"/>
    </row>
    <row r="1202" spans="1:20" x14ac:dyDescent="0.6">
      <c r="A1202" s="334"/>
      <c r="B1202" s="610"/>
      <c r="C1202" s="365"/>
      <c r="D1202" s="364"/>
      <c r="E1202" s="363"/>
      <c r="F1202" s="363"/>
      <c r="G1202" s="364"/>
      <c r="H1202" s="363"/>
      <c r="I1202" s="363"/>
      <c r="J1202" s="364"/>
      <c r="K1202" s="363"/>
      <c r="L1202" s="363"/>
      <c r="M1202" s="737"/>
      <c r="N1202" s="332"/>
      <c r="O1202" s="332"/>
      <c r="P1202" s="332"/>
      <c r="Q1202" s="332"/>
      <c r="R1202" s="332"/>
      <c r="S1202" s="332"/>
      <c r="T1202" s="332"/>
    </row>
    <row r="1203" spans="1:20" x14ac:dyDescent="0.6">
      <c r="A1203" s="334"/>
      <c r="B1203" s="610"/>
      <c r="C1203" s="365"/>
      <c r="D1203" s="364"/>
      <c r="E1203" s="363"/>
      <c r="F1203" s="363"/>
      <c r="G1203" s="364"/>
      <c r="H1203" s="363"/>
      <c r="I1203" s="363"/>
      <c r="J1203" s="364"/>
      <c r="K1203" s="363"/>
      <c r="L1203" s="363"/>
      <c r="M1203" s="737"/>
      <c r="N1203" s="332"/>
      <c r="O1203" s="332"/>
      <c r="P1203" s="332"/>
      <c r="Q1203" s="332"/>
      <c r="R1203" s="332"/>
      <c r="S1203" s="332"/>
      <c r="T1203" s="332"/>
    </row>
    <row r="1204" spans="1:20" x14ac:dyDescent="0.6">
      <c r="A1204" s="334"/>
      <c r="B1204" s="610"/>
      <c r="C1204" s="365"/>
      <c r="D1204" s="364"/>
      <c r="E1204" s="363"/>
      <c r="F1204" s="363"/>
      <c r="G1204" s="364"/>
      <c r="H1204" s="363"/>
      <c r="I1204" s="363"/>
      <c r="J1204" s="364"/>
      <c r="K1204" s="363"/>
      <c r="L1204" s="363"/>
      <c r="M1204" s="737"/>
      <c r="N1204" s="332"/>
      <c r="O1204" s="332"/>
      <c r="P1204" s="332"/>
      <c r="Q1204" s="332"/>
      <c r="R1204" s="332"/>
      <c r="S1204" s="332"/>
      <c r="T1204" s="332"/>
    </row>
    <row r="1205" spans="1:20" x14ac:dyDescent="0.6">
      <c r="A1205" s="334"/>
      <c r="B1205" s="610"/>
      <c r="C1205" s="365"/>
      <c r="D1205" s="364"/>
      <c r="E1205" s="363"/>
      <c r="F1205" s="363"/>
      <c r="G1205" s="364"/>
      <c r="H1205" s="363"/>
      <c r="I1205" s="363"/>
      <c r="J1205" s="364"/>
      <c r="K1205" s="363"/>
      <c r="L1205" s="363"/>
      <c r="M1205" s="737"/>
      <c r="N1205" s="332"/>
      <c r="O1205" s="332"/>
      <c r="P1205" s="332"/>
      <c r="Q1205" s="332"/>
      <c r="R1205" s="332"/>
      <c r="S1205" s="332"/>
      <c r="T1205" s="332"/>
    </row>
    <row r="1206" spans="1:20" x14ac:dyDescent="0.6">
      <c r="A1206" s="334"/>
      <c r="B1206" s="610"/>
      <c r="C1206" s="365"/>
      <c r="D1206" s="364"/>
      <c r="E1206" s="363"/>
      <c r="F1206" s="363"/>
      <c r="G1206" s="364"/>
      <c r="H1206" s="363"/>
      <c r="I1206" s="363"/>
      <c r="J1206" s="364"/>
      <c r="K1206" s="363"/>
      <c r="L1206" s="363"/>
      <c r="M1206" s="737"/>
      <c r="N1206" s="332"/>
      <c r="O1206" s="332"/>
      <c r="P1206" s="332"/>
      <c r="Q1206" s="332"/>
      <c r="R1206" s="332"/>
      <c r="S1206" s="332"/>
      <c r="T1206" s="332"/>
    </row>
    <row r="1207" spans="1:20" x14ac:dyDescent="0.6">
      <c r="A1207" s="334"/>
      <c r="B1207" s="610"/>
      <c r="C1207" s="365"/>
      <c r="D1207" s="364"/>
      <c r="E1207" s="363"/>
      <c r="F1207" s="363"/>
      <c r="G1207" s="364"/>
      <c r="H1207" s="363"/>
      <c r="I1207" s="363"/>
      <c r="J1207" s="364"/>
      <c r="K1207" s="363"/>
      <c r="L1207" s="363"/>
      <c r="M1207" s="737"/>
      <c r="N1207" s="332"/>
      <c r="O1207" s="332"/>
      <c r="P1207" s="332"/>
      <c r="Q1207" s="332"/>
      <c r="R1207" s="332"/>
      <c r="S1207" s="332"/>
      <c r="T1207" s="332"/>
    </row>
    <row r="1208" spans="1:20" x14ac:dyDescent="0.6">
      <c r="A1208" s="334"/>
      <c r="B1208" s="610"/>
      <c r="C1208" s="365"/>
      <c r="D1208" s="364"/>
      <c r="E1208" s="363"/>
      <c r="F1208" s="363"/>
      <c r="G1208" s="364"/>
      <c r="H1208" s="363"/>
      <c r="I1208" s="363"/>
      <c r="J1208" s="364"/>
      <c r="K1208" s="363"/>
      <c r="L1208" s="363"/>
      <c r="M1208" s="737"/>
      <c r="N1208" s="332"/>
      <c r="O1208" s="332"/>
      <c r="P1208" s="332"/>
      <c r="Q1208" s="332"/>
      <c r="R1208" s="332"/>
      <c r="S1208" s="332"/>
      <c r="T1208" s="332"/>
    </row>
    <row r="1209" spans="1:20" x14ac:dyDescent="0.6">
      <c r="A1209" s="334"/>
      <c r="B1209" s="610"/>
      <c r="C1209" s="365"/>
      <c r="D1209" s="364"/>
      <c r="E1209" s="363"/>
      <c r="F1209" s="363"/>
      <c r="G1209" s="364"/>
      <c r="H1209" s="363"/>
      <c r="I1209" s="363"/>
      <c r="J1209" s="364"/>
      <c r="K1209" s="363"/>
      <c r="L1209" s="363"/>
      <c r="M1209" s="737"/>
      <c r="N1209" s="332"/>
      <c r="O1209" s="332"/>
      <c r="P1209" s="332"/>
      <c r="Q1209" s="332"/>
      <c r="R1209" s="332"/>
      <c r="S1209" s="332"/>
      <c r="T1209" s="332"/>
    </row>
    <row r="1210" spans="1:20" x14ac:dyDescent="0.6">
      <c r="A1210" s="334"/>
      <c r="B1210" s="610"/>
      <c r="C1210" s="365"/>
      <c r="D1210" s="364"/>
      <c r="E1210" s="363"/>
      <c r="F1210" s="363"/>
      <c r="G1210" s="364"/>
      <c r="H1210" s="363"/>
      <c r="I1210" s="363"/>
      <c r="J1210" s="364"/>
      <c r="K1210" s="363"/>
      <c r="L1210" s="363"/>
      <c r="M1210" s="737"/>
      <c r="N1210" s="332"/>
      <c r="O1210" s="332"/>
      <c r="P1210" s="332"/>
      <c r="Q1210" s="332"/>
      <c r="R1210" s="332"/>
      <c r="S1210" s="332"/>
      <c r="T1210" s="332"/>
    </row>
    <row r="1211" spans="1:20" x14ac:dyDescent="0.6">
      <c r="A1211" s="334"/>
      <c r="B1211" s="610"/>
      <c r="C1211" s="365"/>
      <c r="D1211" s="364"/>
      <c r="E1211" s="363"/>
      <c r="F1211" s="363"/>
      <c r="G1211" s="364"/>
      <c r="H1211" s="363"/>
      <c r="I1211" s="363"/>
      <c r="J1211" s="364"/>
      <c r="K1211" s="363"/>
      <c r="L1211" s="363"/>
      <c r="M1211" s="737"/>
      <c r="N1211" s="332"/>
      <c r="O1211" s="332"/>
      <c r="P1211" s="332"/>
      <c r="Q1211" s="332"/>
      <c r="R1211" s="332"/>
      <c r="S1211" s="332"/>
      <c r="T1211" s="332"/>
    </row>
    <row r="1212" spans="1:20" x14ac:dyDescent="0.6">
      <c r="A1212" s="334"/>
      <c r="B1212" s="610"/>
      <c r="C1212" s="365"/>
      <c r="D1212" s="364"/>
      <c r="E1212" s="363"/>
      <c r="F1212" s="363"/>
      <c r="G1212" s="364"/>
      <c r="H1212" s="363"/>
      <c r="I1212" s="363"/>
      <c r="J1212" s="364"/>
      <c r="K1212" s="363"/>
      <c r="L1212" s="363"/>
      <c r="M1212" s="737"/>
      <c r="N1212" s="332"/>
      <c r="O1212" s="332"/>
      <c r="P1212" s="332"/>
      <c r="Q1212" s="332"/>
      <c r="R1212" s="332"/>
      <c r="S1212" s="332"/>
      <c r="T1212" s="332"/>
    </row>
    <row r="1213" spans="1:20" x14ac:dyDescent="0.6">
      <c r="A1213" s="334"/>
      <c r="B1213" s="610"/>
      <c r="C1213" s="365"/>
      <c r="D1213" s="364"/>
      <c r="E1213" s="363"/>
      <c r="F1213" s="363"/>
      <c r="G1213" s="364"/>
      <c r="H1213" s="363"/>
      <c r="I1213" s="363"/>
      <c r="J1213" s="364"/>
      <c r="K1213" s="363"/>
      <c r="L1213" s="363"/>
      <c r="M1213" s="737"/>
      <c r="N1213" s="332"/>
      <c r="O1213" s="332"/>
      <c r="P1213" s="332"/>
      <c r="Q1213" s="332"/>
      <c r="R1213" s="332"/>
      <c r="S1213" s="332"/>
      <c r="T1213" s="332"/>
    </row>
    <row r="1214" spans="1:20" x14ac:dyDescent="0.6">
      <c r="A1214" s="334"/>
      <c r="B1214" s="610"/>
      <c r="C1214" s="365"/>
      <c r="D1214" s="364"/>
      <c r="E1214" s="363"/>
      <c r="F1214" s="363"/>
      <c r="G1214" s="364"/>
      <c r="H1214" s="363"/>
      <c r="I1214" s="363"/>
      <c r="J1214" s="364"/>
      <c r="K1214" s="363"/>
      <c r="L1214" s="363"/>
      <c r="M1214" s="737"/>
      <c r="N1214" s="332"/>
      <c r="O1214" s="332"/>
      <c r="P1214" s="332"/>
      <c r="Q1214" s="332"/>
      <c r="R1214" s="332"/>
      <c r="S1214" s="332"/>
      <c r="T1214" s="332"/>
    </row>
    <row r="1215" spans="1:20" x14ac:dyDescent="0.6">
      <c r="A1215" s="334"/>
      <c r="B1215" s="610"/>
      <c r="C1215" s="365"/>
      <c r="D1215" s="364"/>
      <c r="E1215" s="363"/>
      <c r="F1215" s="363"/>
      <c r="G1215" s="364"/>
      <c r="H1215" s="363"/>
      <c r="I1215" s="363"/>
      <c r="J1215" s="364"/>
      <c r="K1215" s="363"/>
      <c r="L1215" s="363"/>
      <c r="M1215" s="737"/>
      <c r="N1215" s="332"/>
      <c r="O1215" s="332"/>
      <c r="P1215" s="332"/>
      <c r="Q1215" s="332"/>
      <c r="R1215" s="332"/>
      <c r="S1215" s="332"/>
      <c r="T1215" s="332"/>
    </row>
    <row r="1216" spans="1:20" x14ac:dyDescent="0.6">
      <c r="A1216" s="334"/>
      <c r="B1216" s="610"/>
      <c r="C1216" s="365"/>
      <c r="D1216" s="364"/>
      <c r="E1216" s="363"/>
      <c r="F1216" s="363"/>
      <c r="G1216" s="364"/>
      <c r="H1216" s="363"/>
      <c r="I1216" s="363"/>
      <c r="J1216" s="364"/>
      <c r="K1216" s="363"/>
      <c r="L1216" s="363"/>
      <c r="M1216" s="737"/>
      <c r="N1216" s="332"/>
      <c r="O1216" s="332"/>
      <c r="P1216" s="332"/>
      <c r="Q1216" s="332"/>
      <c r="R1216" s="332"/>
      <c r="S1216" s="332"/>
      <c r="T1216" s="332"/>
    </row>
    <row r="1217" spans="1:20" x14ac:dyDescent="0.6">
      <c r="A1217" s="334"/>
      <c r="B1217" s="610"/>
      <c r="C1217" s="365"/>
      <c r="D1217" s="364"/>
      <c r="E1217" s="363"/>
      <c r="F1217" s="363"/>
      <c r="G1217" s="364"/>
      <c r="H1217" s="363"/>
      <c r="I1217" s="363"/>
      <c r="J1217" s="364"/>
      <c r="K1217" s="363"/>
      <c r="L1217" s="363"/>
      <c r="M1217" s="737"/>
      <c r="N1217" s="332"/>
      <c r="O1217" s="332"/>
      <c r="P1217" s="332"/>
      <c r="Q1217" s="332"/>
      <c r="R1217" s="332"/>
      <c r="S1217" s="332"/>
      <c r="T1217" s="332"/>
    </row>
    <row r="1218" spans="1:20" x14ac:dyDescent="0.6">
      <c r="A1218" s="334"/>
      <c r="B1218" s="610"/>
      <c r="C1218" s="365"/>
      <c r="D1218" s="364"/>
      <c r="E1218" s="363"/>
      <c r="F1218" s="363"/>
      <c r="G1218" s="364"/>
      <c r="H1218" s="363"/>
      <c r="I1218" s="363"/>
      <c r="J1218" s="364"/>
      <c r="K1218" s="363"/>
      <c r="L1218" s="363"/>
      <c r="M1218" s="737"/>
      <c r="N1218" s="332"/>
      <c r="O1218" s="332"/>
      <c r="P1218" s="332"/>
      <c r="Q1218" s="332"/>
      <c r="R1218" s="332"/>
      <c r="S1218" s="332"/>
      <c r="T1218" s="332"/>
    </row>
    <row r="1219" spans="1:20" x14ac:dyDescent="0.6">
      <c r="A1219" s="334"/>
      <c r="B1219" s="610"/>
      <c r="C1219" s="365"/>
      <c r="D1219" s="364"/>
      <c r="E1219" s="363"/>
      <c r="F1219" s="363"/>
      <c r="G1219" s="364"/>
      <c r="H1219" s="363"/>
      <c r="I1219" s="363"/>
      <c r="J1219" s="364"/>
      <c r="K1219" s="363"/>
      <c r="L1219" s="363"/>
      <c r="M1219" s="737"/>
      <c r="N1219" s="332"/>
      <c r="O1219" s="332"/>
      <c r="P1219" s="332"/>
      <c r="Q1219" s="332"/>
      <c r="R1219" s="332"/>
      <c r="S1219" s="332"/>
      <c r="T1219" s="332"/>
    </row>
    <row r="1220" spans="1:20" x14ac:dyDescent="0.6">
      <c r="A1220" s="334"/>
      <c r="B1220" s="610"/>
      <c r="C1220" s="365"/>
      <c r="D1220" s="364"/>
      <c r="E1220" s="363"/>
      <c r="F1220" s="363"/>
      <c r="G1220" s="364"/>
      <c r="H1220" s="363"/>
      <c r="I1220" s="363"/>
      <c r="J1220" s="364"/>
      <c r="K1220" s="363"/>
      <c r="L1220" s="363"/>
      <c r="M1220" s="737"/>
      <c r="N1220" s="332"/>
      <c r="O1220" s="332"/>
      <c r="P1220" s="332"/>
      <c r="Q1220" s="332"/>
      <c r="R1220" s="332"/>
      <c r="S1220" s="332"/>
      <c r="T1220" s="332"/>
    </row>
    <row r="1221" spans="1:20" x14ac:dyDescent="0.6">
      <c r="A1221" s="334"/>
      <c r="B1221" s="610"/>
      <c r="C1221" s="365"/>
      <c r="D1221" s="364"/>
      <c r="E1221" s="363"/>
      <c r="F1221" s="363"/>
      <c r="G1221" s="364"/>
      <c r="H1221" s="363"/>
      <c r="I1221" s="363"/>
      <c r="J1221" s="364"/>
      <c r="K1221" s="363"/>
      <c r="L1221" s="363"/>
      <c r="M1221" s="737"/>
      <c r="N1221" s="332"/>
      <c r="O1221" s="332"/>
      <c r="P1221" s="332"/>
      <c r="Q1221" s="332"/>
      <c r="R1221" s="332"/>
      <c r="S1221" s="332"/>
      <c r="T1221" s="332"/>
    </row>
    <row r="1222" spans="1:20" x14ac:dyDescent="0.6">
      <c r="A1222" s="334"/>
      <c r="B1222" s="610"/>
      <c r="C1222" s="365"/>
      <c r="D1222" s="364"/>
      <c r="E1222" s="363"/>
      <c r="F1222" s="363"/>
      <c r="G1222" s="364"/>
      <c r="H1222" s="363"/>
      <c r="I1222" s="363"/>
      <c r="J1222" s="364"/>
      <c r="K1222" s="363"/>
      <c r="L1222" s="363"/>
      <c r="M1222" s="737"/>
      <c r="N1222" s="332"/>
      <c r="O1222" s="332"/>
      <c r="P1222" s="332"/>
      <c r="Q1222" s="332"/>
      <c r="R1222" s="332"/>
      <c r="S1222" s="332"/>
      <c r="T1222" s="332"/>
    </row>
    <row r="1223" spans="1:20" x14ac:dyDescent="0.6">
      <c r="A1223" s="334"/>
      <c r="B1223" s="610"/>
      <c r="C1223" s="365"/>
      <c r="D1223" s="364"/>
      <c r="E1223" s="363"/>
      <c r="F1223" s="363"/>
      <c r="G1223" s="364"/>
      <c r="H1223" s="363"/>
      <c r="I1223" s="363"/>
      <c r="J1223" s="364"/>
      <c r="K1223" s="363"/>
      <c r="L1223" s="363"/>
      <c r="M1223" s="737"/>
      <c r="N1223" s="332"/>
      <c r="O1223" s="332"/>
      <c r="P1223" s="332"/>
      <c r="Q1223" s="332"/>
      <c r="R1223" s="332"/>
      <c r="S1223" s="332"/>
      <c r="T1223" s="332"/>
    </row>
    <row r="1224" spans="1:20" x14ac:dyDescent="0.6">
      <c r="A1224" s="334"/>
      <c r="B1224" s="610"/>
      <c r="C1224" s="365"/>
      <c r="D1224" s="364"/>
      <c r="E1224" s="363"/>
      <c r="F1224" s="363"/>
      <c r="G1224" s="364"/>
      <c r="H1224" s="363"/>
      <c r="I1224" s="363"/>
      <c r="J1224" s="364"/>
      <c r="K1224" s="363"/>
      <c r="L1224" s="363"/>
      <c r="M1224" s="737"/>
      <c r="N1224" s="332"/>
      <c r="O1224" s="332"/>
      <c r="P1224" s="332"/>
      <c r="Q1224" s="332"/>
      <c r="R1224" s="332"/>
      <c r="S1224" s="332"/>
      <c r="T1224" s="332"/>
    </row>
    <row r="1225" spans="1:20" x14ac:dyDescent="0.6">
      <c r="A1225" s="334"/>
      <c r="B1225" s="610"/>
      <c r="C1225" s="365"/>
      <c r="D1225" s="364"/>
      <c r="E1225" s="363"/>
      <c r="F1225" s="363"/>
      <c r="G1225" s="364"/>
      <c r="H1225" s="363"/>
      <c r="I1225" s="363"/>
      <c r="J1225" s="364"/>
      <c r="K1225" s="363"/>
      <c r="L1225" s="363"/>
      <c r="M1225" s="737"/>
      <c r="N1225" s="332"/>
      <c r="O1225" s="332"/>
      <c r="P1225" s="332"/>
      <c r="Q1225" s="332"/>
      <c r="R1225" s="332"/>
      <c r="S1225" s="332"/>
      <c r="T1225" s="332"/>
    </row>
    <row r="1226" spans="1:20" x14ac:dyDescent="0.6">
      <c r="A1226" s="334"/>
      <c r="B1226" s="610"/>
      <c r="C1226" s="365"/>
      <c r="D1226" s="364"/>
      <c r="E1226" s="363"/>
      <c r="F1226" s="363"/>
      <c r="G1226" s="364"/>
      <c r="H1226" s="363"/>
      <c r="I1226" s="363"/>
      <c r="J1226" s="364"/>
      <c r="K1226" s="363"/>
      <c r="L1226" s="363"/>
      <c r="M1226" s="737"/>
      <c r="N1226" s="332"/>
      <c r="O1226" s="332"/>
      <c r="P1226" s="332"/>
      <c r="Q1226" s="332"/>
      <c r="R1226" s="332"/>
      <c r="S1226" s="332"/>
      <c r="T1226" s="332"/>
    </row>
    <row r="1227" spans="1:20" x14ac:dyDescent="0.6">
      <c r="A1227" s="334"/>
      <c r="B1227" s="610"/>
      <c r="C1227" s="365"/>
      <c r="D1227" s="364"/>
      <c r="E1227" s="363"/>
      <c r="F1227" s="363"/>
      <c r="G1227" s="364"/>
      <c r="H1227" s="363"/>
      <c r="I1227" s="363"/>
      <c r="J1227" s="364"/>
      <c r="K1227" s="363"/>
      <c r="L1227" s="363"/>
      <c r="M1227" s="737"/>
      <c r="N1227" s="332"/>
      <c r="O1227" s="332"/>
      <c r="P1227" s="332"/>
      <c r="Q1227" s="332"/>
      <c r="R1227" s="332"/>
      <c r="S1227" s="332"/>
      <c r="T1227" s="332"/>
    </row>
    <row r="1228" spans="1:20" x14ac:dyDescent="0.6">
      <c r="A1228" s="334"/>
      <c r="B1228" s="610"/>
      <c r="C1228" s="365"/>
      <c r="D1228" s="364"/>
      <c r="E1228" s="363"/>
      <c r="F1228" s="363"/>
      <c r="G1228" s="364"/>
      <c r="H1228" s="363"/>
      <c r="I1228" s="363"/>
      <c r="J1228" s="364"/>
      <c r="K1228" s="363"/>
      <c r="L1228" s="363"/>
      <c r="M1228" s="737"/>
      <c r="N1228" s="332"/>
      <c r="O1228" s="332"/>
      <c r="P1228" s="332"/>
      <c r="Q1228" s="332"/>
      <c r="R1228" s="332"/>
      <c r="S1228" s="332"/>
      <c r="T1228" s="332"/>
    </row>
    <row r="1229" spans="1:20" x14ac:dyDescent="0.6">
      <c r="A1229" s="334"/>
      <c r="B1229" s="610"/>
      <c r="C1229" s="365"/>
      <c r="D1229" s="364"/>
      <c r="E1229" s="363"/>
      <c r="F1229" s="363"/>
      <c r="G1229" s="364"/>
      <c r="H1229" s="363"/>
      <c r="I1229" s="363"/>
      <c r="J1229" s="364"/>
      <c r="K1229" s="363"/>
      <c r="L1229" s="363"/>
      <c r="M1229" s="737"/>
      <c r="N1229" s="332"/>
      <c r="O1229" s="332"/>
      <c r="P1229" s="332"/>
      <c r="Q1229" s="332"/>
      <c r="R1229" s="332"/>
      <c r="S1229" s="332"/>
      <c r="T1229" s="332"/>
    </row>
    <row r="1230" spans="1:20" x14ac:dyDescent="0.6">
      <c r="A1230" s="334"/>
      <c r="B1230" s="610"/>
      <c r="C1230" s="365"/>
      <c r="D1230" s="364"/>
      <c r="E1230" s="363"/>
      <c r="F1230" s="363"/>
      <c r="G1230" s="364"/>
      <c r="H1230" s="363"/>
      <c r="I1230" s="363"/>
      <c r="J1230" s="364"/>
      <c r="K1230" s="363"/>
      <c r="L1230" s="363"/>
      <c r="M1230" s="737"/>
      <c r="N1230" s="332"/>
      <c r="O1230" s="332"/>
      <c r="P1230" s="332"/>
      <c r="Q1230" s="332"/>
      <c r="R1230" s="332"/>
      <c r="S1230" s="332"/>
      <c r="T1230" s="332"/>
    </row>
    <row r="1231" spans="1:20" x14ac:dyDescent="0.6">
      <c r="A1231" s="334"/>
      <c r="B1231" s="610"/>
      <c r="C1231" s="365"/>
      <c r="D1231" s="364"/>
      <c r="E1231" s="363"/>
      <c r="F1231" s="363"/>
      <c r="G1231" s="364"/>
      <c r="H1231" s="363"/>
      <c r="I1231" s="363"/>
      <c r="J1231" s="364"/>
      <c r="K1231" s="363"/>
      <c r="L1231" s="363"/>
      <c r="M1231" s="737"/>
      <c r="N1231" s="332"/>
      <c r="O1231" s="332"/>
      <c r="P1231" s="332"/>
      <c r="Q1231" s="332"/>
      <c r="R1231" s="332"/>
      <c r="S1231" s="332"/>
      <c r="T1231" s="332"/>
    </row>
    <row r="1232" spans="1:20" x14ac:dyDescent="0.6">
      <c r="A1232" s="334"/>
      <c r="B1232" s="610"/>
      <c r="C1232" s="365"/>
      <c r="D1232" s="364"/>
      <c r="E1232" s="363"/>
      <c r="F1232" s="363"/>
      <c r="G1232" s="364"/>
      <c r="H1232" s="363"/>
      <c r="I1232" s="363"/>
      <c r="J1232" s="364"/>
      <c r="K1232" s="363"/>
      <c r="L1232" s="363"/>
      <c r="M1232" s="737"/>
      <c r="N1232" s="332"/>
      <c r="O1232" s="332"/>
      <c r="P1232" s="332"/>
      <c r="Q1232" s="332"/>
      <c r="R1232" s="332"/>
      <c r="S1232" s="332"/>
      <c r="T1232" s="332"/>
    </row>
    <row r="1233" spans="1:20" x14ac:dyDescent="0.6">
      <c r="A1233" s="334"/>
      <c r="B1233" s="610"/>
      <c r="C1233" s="365"/>
      <c r="D1233" s="364"/>
      <c r="E1233" s="363"/>
      <c r="F1233" s="363"/>
      <c r="G1233" s="364"/>
      <c r="H1233" s="363"/>
      <c r="I1233" s="363"/>
      <c r="J1233" s="364"/>
      <c r="K1233" s="363"/>
      <c r="L1233" s="363"/>
      <c r="M1233" s="737"/>
      <c r="N1233" s="332"/>
      <c r="O1233" s="332"/>
      <c r="P1233" s="332"/>
      <c r="Q1233" s="332"/>
      <c r="R1233" s="332"/>
      <c r="S1233" s="332"/>
      <c r="T1233" s="332"/>
    </row>
    <row r="1234" spans="1:20" x14ac:dyDescent="0.6">
      <c r="A1234" s="334"/>
      <c r="B1234" s="610"/>
      <c r="C1234" s="365"/>
      <c r="D1234" s="364"/>
      <c r="E1234" s="363"/>
      <c r="F1234" s="363"/>
      <c r="G1234" s="364"/>
      <c r="H1234" s="363"/>
      <c r="I1234" s="363"/>
      <c r="J1234" s="364"/>
      <c r="K1234" s="363"/>
      <c r="L1234" s="363"/>
      <c r="M1234" s="737"/>
      <c r="N1234" s="332"/>
      <c r="O1234" s="332"/>
      <c r="P1234" s="332"/>
      <c r="Q1234" s="332"/>
      <c r="R1234" s="332"/>
      <c r="S1234" s="332"/>
      <c r="T1234" s="332"/>
    </row>
    <row r="1235" spans="1:20" x14ac:dyDescent="0.6">
      <c r="A1235" s="334"/>
      <c r="B1235" s="610"/>
      <c r="C1235" s="365"/>
      <c r="D1235" s="364"/>
      <c r="E1235" s="363"/>
      <c r="F1235" s="363"/>
      <c r="G1235" s="364"/>
      <c r="H1235" s="363"/>
      <c r="I1235" s="363"/>
      <c r="J1235" s="364"/>
      <c r="K1235" s="363"/>
      <c r="L1235" s="363"/>
      <c r="M1235" s="737"/>
      <c r="N1235" s="332"/>
      <c r="O1235" s="332"/>
      <c r="P1235" s="332"/>
      <c r="Q1235" s="332"/>
      <c r="R1235" s="332"/>
      <c r="S1235" s="332"/>
      <c r="T1235" s="332"/>
    </row>
    <row r="1236" spans="1:20" x14ac:dyDescent="0.6">
      <c r="A1236" s="334"/>
      <c r="B1236" s="610"/>
      <c r="C1236" s="365"/>
      <c r="D1236" s="364"/>
      <c r="E1236" s="363"/>
      <c r="F1236" s="363"/>
      <c r="G1236" s="364"/>
      <c r="H1236" s="363"/>
      <c r="I1236" s="363"/>
      <c r="J1236" s="364"/>
      <c r="K1236" s="363"/>
      <c r="L1236" s="363"/>
      <c r="M1236" s="737"/>
      <c r="N1236" s="332"/>
      <c r="O1236" s="332"/>
      <c r="P1236" s="332"/>
      <c r="Q1236" s="332"/>
      <c r="R1236" s="332"/>
      <c r="S1236" s="332"/>
      <c r="T1236" s="332"/>
    </row>
    <row r="1237" spans="1:20" x14ac:dyDescent="0.6">
      <c r="A1237" s="334"/>
      <c r="B1237" s="610"/>
      <c r="C1237" s="365"/>
      <c r="D1237" s="364"/>
      <c r="E1237" s="363"/>
      <c r="F1237" s="363"/>
      <c r="G1237" s="364"/>
      <c r="H1237" s="363"/>
      <c r="I1237" s="363"/>
      <c r="J1237" s="364"/>
      <c r="K1237" s="363"/>
      <c r="L1237" s="363"/>
      <c r="M1237" s="737"/>
      <c r="N1237" s="332"/>
      <c r="O1237" s="332"/>
      <c r="P1237" s="332"/>
      <c r="Q1237" s="332"/>
      <c r="R1237" s="332"/>
      <c r="S1237" s="332"/>
      <c r="T1237" s="332"/>
    </row>
    <row r="1238" spans="1:20" x14ac:dyDescent="0.6">
      <c r="A1238" s="334"/>
      <c r="B1238" s="610"/>
      <c r="C1238" s="365"/>
      <c r="D1238" s="364"/>
      <c r="E1238" s="363"/>
      <c r="F1238" s="363"/>
      <c r="G1238" s="364"/>
      <c r="H1238" s="363"/>
      <c r="I1238" s="363"/>
      <c r="J1238" s="364"/>
      <c r="K1238" s="363"/>
      <c r="L1238" s="363"/>
      <c r="M1238" s="737"/>
      <c r="N1238" s="332"/>
      <c r="O1238" s="332"/>
      <c r="P1238" s="332"/>
      <c r="Q1238" s="332"/>
      <c r="R1238" s="332"/>
      <c r="S1238" s="332"/>
      <c r="T1238" s="332"/>
    </row>
    <row r="1239" spans="1:20" x14ac:dyDescent="0.6">
      <c r="A1239" s="334"/>
      <c r="B1239" s="610"/>
      <c r="C1239" s="365"/>
      <c r="D1239" s="364"/>
      <c r="E1239" s="363"/>
      <c r="F1239" s="363"/>
      <c r="G1239" s="364"/>
      <c r="H1239" s="363"/>
      <c r="I1239" s="363"/>
      <c r="J1239" s="364"/>
      <c r="K1239" s="363"/>
      <c r="L1239" s="363"/>
      <c r="M1239" s="737"/>
      <c r="N1239" s="332"/>
      <c r="O1239" s="332"/>
      <c r="P1239" s="332"/>
      <c r="Q1239" s="332"/>
      <c r="R1239" s="332"/>
      <c r="S1239" s="332"/>
      <c r="T1239" s="332"/>
    </row>
    <row r="1240" spans="1:20" x14ac:dyDescent="0.6">
      <c r="A1240" s="334"/>
      <c r="B1240" s="610"/>
      <c r="C1240" s="365"/>
      <c r="D1240" s="364"/>
      <c r="E1240" s="363"/>
      <c r="F1240" s="363"/>
      <c r="G1240" s="364"/>
      <c r="H1240" s="363"/>
      <c r="I1240" s="363"/>
      <c r="J1240" s="364"/>
      <c r="K1240" s="363"/>
      <c r="L1240" s="363"/>
      <c r="M1240" s="737"/>
      <c r="N1240" s="332"/>
      <c r="O1240" s="332"/>
      <c r="P1240" s="332"/>
      <c r="Q1240" s="332"/>
      <c r="R1240" s="332"/>
      <c r="S1240" s="332"/>
      <c r="T1240" s="332"/>
    </row>
    <row r="1241" spans="1:20" x14ac:dyDescent="0.6">
      <c r="A1241" s="334"/>
      <c r="B1241" s="610"/>
      <c r="C1241" s="365"/>
      <c r="D1241" s="364"/>
      <c r="E1241" s="363"/>
      <c r="F1241" s="363"/>
      <c r="G1241" s="364"/>
      <c r="H1241" s="363"/>
      <c r="I1241" s="363"/>
      <c r="J1241" s="364"/>
      <c r="K1241" s="363"/>
      <c r="L1241" s="363"/>
      <c r="M1241" s="737"/>
      <c r="N1241" s="332"/>
      <c r="O1241" s="332"/>
      <c r="P1241" s="332"/>
      <c r="Q1241" s="332"/>
      <c r="R1241" s="332"/>
      <c r="S1241" s="332"/>
      <c r="T1241" s="332"/>
    </row>
    <row r="1242" spans="1:20" x14ac:dyDescent="0.6">
      <c r="A1242" s="334"/>
      <c r="B1242" s="610"/>
      <c r="C1242" s="365"/>
      <c r="D1242" s="364"/>
      <c r="E1242" s="363"/>
      <c r="F1242" s="363"/>
      <c r="G1242" s="364"/>
      <c r="H1242" s="363"/>
      <c r="I1242" s="363"/>
      <c r="J1242" s="364"/>
      <c r="K1242" s="363"/>
      <c r="L1242" s="363"/>
      <c r="M1242" s="737"/>
      <c r="N1242" s="332"/>
      <c r="O1242" s="332"/>
      <c r="P1242" s="332"/>
      <c r="Q1242" s="332"/>
      <c r="R1242" s="332"/>
      <c r="S1242" s="332"/>
      <c r="T1242" s="332"/>
    </row>
    <row r="1243" spans="1:20" x14ac:dyDescent="0.6">
      <c r="A1243" s="334"/>
      <c r="B1243" s="610"/>
      <c r="C1243" s="365"/>
      <c r="D1243" s="364"/>
      <c r="E1243" s="363"/>
      <c r="F1243" s="363"/>
      <c r="G1243" s="364"/>
      <c r="H1243" s="363"/>
      <c r="I1243" s="363"/>
      <c r="J1243" s="364"/>
      <c r="K1243" s="363"/>
      <c r="L1243" s="363"/>
      <c r="M1243" s="737"/>
      <c r="N1243" s="332"/>
      <c r="O1243" s="332"/>
      <c r="P1243" s="332"/>
      <c r="Q1243" s="332"/>
      <c r="R1243" s="332"/>
      <c r="S1243" s="332"/>
      <c r="T1243" s="332"/>
    </row>
    <row r="1244" spans="1:20" x14ac:dyDescent="0.6">
      <c r="A1244" s="334"/>
      <c r="B1244" s="610"/>
      <c r="C1244" s="365"/>
      <c r="D1244" s="364"/>
      <c r="E1244" s="363"/>
      <c r="F1244" s="363"/>
      <c r="G1244" s="364"/>
      <c r="H1244" s="363"/>
      <c r="I1244" s="363"/>
      <c r="J1244" s="364"/>
      <c r="K1244" s="363"/>
      <c r="L1244" s="363"/>
      <c r="M1244" s="737"/>
      <c r="N1244" s="332"/>
      <c r="O1244" s="332"/>
      <c r="P1244" s="332"/>
      <c r="Q1244" s="332"/>
      <c r="R1244" s="332"/>
      <c r="S1244" s="332"/>
      <c r="T1244" s="332"/>
    </row>
    <row r="1245" spans="1:20" x14ac:dyDescent="0.6">
      <c r="A1245" s="334"/>
      <c r="B1245" s="610"/>
      <c r="C1245" s="365"/>
      <c r="D1245" s="364"/>
      <c r="E1245" s="363"/>
      <c r="F1245" s="363"/>
      <c r="G1245" s="364"/>
      <c r="H1245" s="363"/>
      <c r="I1245" s="363"/>
      <c r="J1245" s="364"/>
      <c r="K1245" s="363"/>
      <c r="L1245" s="363"/>
      <c r="M1245" s="737"/>
      <c r="N1245" s="332"/>
      <c r="O1245" s="332"/>
      <c r="P1245" s="332"/>
      <c r="Q1245" s="332"/>
      <c r="R1245" s="332"/>
      <c r="S1245" s="332"/>
      <c r="T1245" s="332"/>
    </row>
    <row r="1246" spans="1:20" x14ac:dyDescent="0.6">
      <c r="A1246" s="334"/>
      <c r="B1246" s="610"/>
      <c r="C1246" s="365"/>
      <c r="D1246" s="364"/>
      <c r="E1246" s="363"/>
      <c r="F1246" s="363"/>
      <c r="G1246" s="364"/>
      <c r="H1246" s="363"/>
      <c r="I1246" s="363"/>
      <c r="J1246" s="364"/>
      <c r="K1246" s="363"/>
      <c r="L1246" s="363"/>
      <c r="M1246" s="737"/>
      <c r="N1246" s="332"/>
      <c r="O1246" s="332"/>
      <c r="P1246" s="332"/>
      <c r="Q1246" s="332"/>
      <c r="R1246" s="332"/>
      <c r="S1246" s="332"/>
      <c r="T1246" s="332"/>
    </row>
    <row r="1247" spans="1:20" x14ac:dyDescent="0.6">
      <c r="A1247" s="334"/>
      <c r="B1247" s="610"/>
      <c r="C1247" s="365"/>
      <c r="D1247" s="364"/>
      <c r="E1247" s="363"/>
      <c r="F1247" s="363"/>
      <c r="G1247" s="364"/>
      <c r="H1247" s="363"/>
      <c r="I1247" s="363"/>
      <c r="J1247" s="364"/>
      <c r="K1247" s="363"/>
      <c r="L1247" s="363"/>
      <c r="M1247" s="737"/>
      <c r="N1247" s="332"/>
      <c r="O1247" s="332"/>
      <c r="P1247" s="332"/>
      <c r="Q1247" s="332"/>
      <c r="R1247" s="332"/>
      <c r="S1247" s="332"/>
      <c r="T1247" s="332"/>
    </row>
    <row r="1248" spans="1:20" x14ac:dyDescent="0.6">
      <c r="A1248" s="334"/>
      <c r="B1248" s="610"/>
      <c r="C1248" s="365"/>
      <c r="D1248" s="364"/>
      <c r="E1248" s="363"/>
      <c r="F1248" s="363"/>
      <c r="G1248" s="364"/>
      <c r="H1248" s="363"/>
      <c r="I1248" s="363"/>
      <c r="J1248" s="364"/>
      <c r="K1248" s="363"/>
      <c r="L1248" s="363"/>
      <c r="M1248" s="737"/>
      <c r="N1248" s="332"/>
      <c r="O1248" s="332"/>
      <c r="P1248" s="332"/>
      <c r="Q1248" s="332"/>
      <c r="R1248" s="332"/>
      <c r="S1248" s="332"/>
      <c r="T1248" s="332"/>
    </row>
    <row r="1249" spans="1:20" x14ac:dyDescent="0.6">
      <c r="A1249" s="334"/>
      <c r="B1249" s="610"/>
      <c r="C1249" s="365"/>
      <c r="D1249" s="364"/>
      <c r="E1249" s="363"/>
      <c r="F1249" s="363"/>
      <c r="G1249" s="364"/>
      <c r="H1249" s="363"/>
      <c r="I1249" s="363"/>
      <c r="J1249" s="364"/>
      <c r="K1249" s="363"/>
      <c r="L1249" s="363"/>
      <c r="M1249" s="737"/>
      <c r="N1249" s="332"/>
      <c r="O1249" s="332"/>
      <c r="P1249" s="332"/>
      <c r="Q1249" s="332"/>
      <c r="R1249" s="332"/>
      <c r="S1249" s="332"/>
      <c r="T1249" s="332"/>
    </row>
    <row r="1250" spans="1:20" x14ac:dyDescent="0.6">
      <c r="A1250" s="334"/>
      <c r="B1250" s="610"/>
      <c r="C1250" s="365"/>
      <c r="D1250" s="364"/>
      <c r="E1250" s="363"/>
      <c r="F1250" s="363"/>
      <c r="G1250" s="364"/>
      <c r="H1250" s="363"/>
      <c r="I1250" s="363"/>
      <c r="J1250" s="364"/>
      <c r="K1250" s="363"/>
      <c r="L1250" s="363"/>
      <c r="M1250" s="737"/>
      <c r="N1250" s="332"/>
      <c r="O1250" s="332"/>
      <c r="P1250" s="332"/>
      <c r="Q1250" s="332"/>
      <c r="R1250" s="332"/>
      <c r="S1250" s="332"/>
      <c r="T1250" s="332"/>
    </row>
    <row r="1251" spans="1:20" x14ac:dyDescent="0.6">
      <c r="A1251" s="334"/>
      <c r="B1251" s="610"/>
      <c r="C1251" s="365"/>
      <c r="D1251" s="364"/>
      <c r="E1251" s="363"/>
      <c r="F1251" s="363"/>
      <c r="G1251" s="364"/>
      <c r="H1251" s="363"/>
      <c r="I1251" s="363"/>
      <c r="J1251" s="364"/>
      <c r="K1251" s="363"/>
      <c r="L1251" s="363"/>
      <c r="M1251" s="737"/>
      <c r="N1251" s="332"/>
      <c r="O1251" s="332"/>
      <c r="P1251" s="332"/>
      <c r="Q1251" s="332"/>
      <c r="R1251" s="332"/>
      <c r="S1251" s="332"/>
      <c r="T1251" s="332"/>
    </row>
    <row r="1252" spans="1:20" x14ac:dyDescent="0.6">
      <c r="A1252" s="334"/>
      <c r="B1252" s="610"/>
      <c r="C1252" s="365"/>
      <c r="D1252" s="364"/>
      <c r="E1252" s="363"/>
      <c r="F1252" s="363"/>
      <c r="G1252" s="364"/>
      <c r="H1252" s="363"/>
      <c r="I1252" s="363"/>
      <c r="J1252" s="364"/>
      <c r="K1252" s="363"/>
      <c r="L1252" s="363"/>
      <c r="M1252" s="737"/>
      <c r="N1252" s="332"/>
      <c r="O1252" s="332"/>
      <c r="P1252" s="332"/>
      <c r="Q1252" s="332"/>
      <c r="R1252" s="332"/>
      <c r="S1252" s="332"/>
      <c r="T1252" s="332"/>
    </row>
    <row r="1253" spans="1:20" x14ac:dyDescent="0.6">
      <c r="A1253" s="334"/>
      <c r="B1253" s="610"/>
      <c r="C1253" s="365"/>
      <c r="D1253" s="364"/>
      <c r="E1253" s="363"/>
      <c r="F1253" s="363"/>
      <c r="G1253" s="364"/>
      <c r="H1253" s="363"/>
      <c r="I1253" s="363"/>
      <c r="J1253" s="364"/>
      <c r="K1253" s="363"/>
      <c r="L1253" s="363"/>
      <c r="M1253" s="737"/>
      <c r="N1253" s="332"/>
      <c r="O1253" s="332"/>
      <c r="P1253" s="332"/>
      <c r="Q1253" s="332"/>
      <c r="R1253" s="332"/>
      <c r="S1253" s="332"/>
      <c r="T1253" s="332"/>
    </row>
    <row r="1254" spans="1:20" x14ac:dyDescent="0.6">
      <c r="A1254" s="334"/>
      <c r="B1254" s="610"/>
      <c r="C1254" s="365"/>
      <c r="D1254" s="364"/>
      <c r="E1254" s="363"/>
      <c r="F1254" s="363"/>
      <c r="G1254" s="364"/>
      <c r="H1254" s="363"/>
      <c r="I1254" s="363"/>
      <c r="J1254" s="364"/>
      <c r="K1254" s="363"/>
      <c r="L1254" s="363"/>
      <c r="M1254" s="737"/>
      <c r="N1254" s="332"/>
      <c r="O1254" s="332"/>
      <c r="P1254" s="332"/>
      <c r="Q1254" s="332"/>
      <c r="R1254" s="332"/>
      <c r="S1254" s="332"/>
      <c r="T1254" s="332"/>
    </row>
    <row r="1255" spans="1:20" x14ac:dyDescent="0.6">
      <c r="A1255" s="334"/>
      <c r="B1255" s="610"/>
      <c r="C1255" s="365"/>
      <c r="D1255" s="364"/>
      <c r="E1255" s="363"/>
      <c r="F1255" s="363"/>
      <c r="G1255" s="364"/>
      <c r="H1255" s="363"/>
      <c r="I1255" s="363"/>
      <c r="J1255" s="364"/>
      <c r="K1255" s="363"/>
      <c r="L1255" s="363"/>
      <c r="M1255" s="737"/>
      <c r="N1255" s="332"/>
      <c r="O1255" s="332"/>
      <c r="P1255" s="332"/>
      <c r="Q1255" s="332"/>
      <c r="R1255" s="332"/>
      <c r="S1255" s="332"/>
      <c r="T1255" s="332"/>
    </row>
    <row r="1256" spans="1:20" x14ac:dyDescent="0.6">
      <c r="A1256" s="334"/>
      <c r="B1256" s="610"/>
      <c r="C1256" s="365"/>
      <c r="D1256" s="364"/>
      <c r="E1256" s="363"/>
      <c r="F1256" s="363"/>
      <c r="G1256" s="364"/>
      <c r="H1256" s="363"/>
      <c r="I1256" s="363"/>
      <c r="J1256" s="364"/>
      <c r="K1256" s="363"/>
      <c r="L1256" s="363"/>
      <c r="M1256" s="737"/>
      <c r="N1256" s="332"/>
      <c r="O1256" s="332"/>
      <c r="P1256" s="332"/>
      <c r="Q1256" s="332"/>
      <c r="R1256" s="332"/>
      <c r="S1256" s="332"/>
      <c r="T1256" s="332"/>
    </row>
    <row r="1257" spans="1:20" x14ac:dyDescent="0.6">
      <c r="A1257" s="334"/>
      <c r="B1257" s="610"/>
      <c r="C1257" s="365"/>
      <c r="D1257" s="364"/>
      <c r="E1257" s="363"/>
      <c r="F1257" s="363"/>
      <c r="G1257" s="364"/>
      <c r="H1257" s="363"/>
      <c r="I1257" s="363"/>
      <c r="J1257" s="364"/>
      <c r="K1257" s="363"/>
      <c r="L1257" s="363"/>
      <c r="M1257" s="737"/>
      <c r="N1257" s="332"/>
      <c r="O1257" s="332"/>
      <c r="P1257" s="332"/>
      <c r="Q1257" s="332"/>
      <c r="R1257" s="332"/>
      <c r="S1257" s="332"/>
      <c r="T1257" s="332"/>
    </row>
    <row r="1258" spans="1:20" x14ac:dyDescent="0.6">
      <c r="A1258" s="334"/>
      <c r="B1258" s="610"/>
      <c r="C1258" s="365"/>
      <c r="D1258" s="364"/>
      <c r="E1258" s="363"/>
      <c r="F1258" s="363"/>
      <c r="G1258" s="364"/>
      <c r="H1258" s="363"/>
      <c r="I1258" s="363"/>
      <c r="J1258" s="364"/>
      <c r="K1258" s="363"/>
      <c r="L1258" s="363"/>
      <c r="M1258" s="737"/>
      <c r="N1258" s="332"/>
      <c r="O1258" s="332"/>
      <c r="P1258" s="332"/>
      <c r="Q1258" s="332"/>
      <c r="R1258" s="332"/>
      <c r="S1258" s="332"/>
      <c r="T1258" s="332"/>
    </row>
    <row r="1259" spans="1:20" x14ac:dyDescent="0.6">
      <c r="A1259" s="334"/>
      <c r="B1259" s="610"/>
      <c r="C1259" s="365"/>
      <c r="D1259" s="364"/>
      <c r="E1259" s="363"/>
      <c r="F1259" s="363"/>
      <c r="G1259" s="364"/>
      <c r="H1259" s="363"/>
      <c r="I1259" s="363"/>
      <c r="J1259" s="364"/>
      <c r="K1259" s="363"/>
      <c r="L1259" s="363"/>
      <c r="M1259" s="737"/>
      <c r="N1259" s="332"/>
      <c r="O1259" s="332"/>
      <c r="P1259" s="332"/>
      <c r="Q1259" s="332"/>
      <c r="R1259" s="332"/>
      <c r="S1259" s="332"/>
      <c r="T1259" s="332"/>
    </row>
    <row r="1260" spans="1:20" x14ac:dyDescent="0.6">
      <c r="A1260" s="334"/>
      <c r="B1260" s="610"/>
      <c r="C1260" s="365"/>
      <c r="D1260" s="364"/>
      <c r="E1260" s="363"/>
      <c r="F1260" s="363"/>
      <c r="G1260" s="364"/>
      <c r="H1260" s="363"/>
      <c r="I1260" s="363"/>
      <c r="J1260" s="364"/>
      <c r="K1260" s="363"/>
      <c r="L1260" s="363"/>
      <c r="M1260" s="737"/>
      <c r="N1260" s="332"/>
      <c r="O1260" s="332"/>
      <c r="P1260" s="332"/>
      <c r="Q1260" s="332"/>
      <c r="R1260" s="332"/>
      <c r="S1260" s="332"/>
      <c r="T1260" s="332"/>
    </row>
    <row r="1261" spans="1:20" x14ac:dyDescent="0.6">
      <c r="A1261" s="334"/>
      <c r="B1261" s="610"/>
      <c r="C1261" s="365"/>
      <c r="D1261" s="364"/>
      <c r="E1261" s="363"/>
      <c r="F1261" s="363"/>
      <c r="G1261" s="364"/>
      <c r="H1261" s="363"/>
      <c r="I1261" s="363"/>
      <c r="J1261" s="364"/>
      <c r="K1261" s="363"/>
      <c r="L1261" s="363"/>
      <c r="M1261" s="737"/>
      <c r="N1261" s="332"/>
      <c r="O1261" s="332"/>
      <c r="P1261" s="332"/>
      <c r="Q1261" s="332"/>
      <c r="R1261" s="332"/>
      <c r="S1261" s="332"/>
      <c r="T1261" s="332"/>
    </row>
    <row r="1262" spans="1:20" x14ac:dyDescent="0.6">
      <c r="A1262" s="334"/>
      <c r="B1262" s="610"/>
      <c r="C1262" s="365"/>
      <c r="D1262" s="364"/>
      <c r="E1262" s="363"/>
      <c r="F1262" s="363"/>
      <c r="G1262" s="364"/>
      <c r="H1262" s="363"/>
      <c r="I1262" s="363"/>
      <c r="J1262" s="364"/>
      <c r="K1262" s="363"/>
      <c r="L1262" s="363"/>
      <c r="M1262" s="737"/>
      <c r="N1262" s="332"/>
      <c r="O1262" s="332"/>
      <c r="P1262" s="332"/>
      <c r="Q1262" s="332"/>
      <c r="R1262" s="332"/>
      <c r="S1262" s="332"/>
      <c r="T1262" s="332"/>
    </row>
    <row r="1263" spans="1:20" x14ac:dyDescent="0.6">
      <c r="A1263" s="334"/>
      <c r="B1263" s="610"/>
      <c r="C1263" s="365"/>
      <c r="D1263" s="364"/>
      <c r="E1263" s="363"/>
      <c r="F1263" s="363"/>
      <c r="G1263" s="364"/>
      <c r="H1263" s="363"/>
      <c r="I1263" s="363"/>
      <c r="J1263" s="364"/>
      <c r="K1263" s="363"/>
      <c r="L1263" s="363"/>
      <c r="M1263" s="737"/>
      <c r="N1263" s="332"/>
      <c r="O1263" s="332"/>
      <c r="P1263" s="332"/>
      <c r="Q1263" s="332"/>
      <c r="R1263" s="332"/>
      <c r="S1263" s="332"/>
      <c r="T1263" s="332"/>
    </row>
    <row r="1264" spans="1:20" x14ac:dyDescent="0.6">
      <c r="A1264" s="334"/>
      <c r="B1264" s="610"/>
      <c r="C1264" s="365"/>
      <c r="D1264" s="364"/>
      <c r="E1264" s="363"/>
      <c r="F1264" s="363"/>
      <c r="G1264" s="364"/>
      <c r="H1264" s="363"/>
      <c r="I1264" s="363"/>
      <c r="J1264" s="364"/>
      <c r="K1264" s="363"/>
      <c r="L1264" s="363"/>
      <c r="M1264" s="737"/>
      <c r="N1264" s="332"/>
      <c r="O1264" s="332"/>
      <c r="P1264" s="332"/>
      <c r="Q1264" s="332"/>
      <c r="R1264" s="332"/>
      <c r="S1264" s="332"/>
      <c r="T1264" s="332"/>
    </row>
    <row r="1265" spans="1:20" x14ac:dyDescent="0.6">
      <c r="A1265" s="334"/>
      <c r="B1265" s="610"/>
      <c r="C1265" s="365"/>
      <c r="D1265" s="364"/>
      <c r="E1265" s="363"/>
      <c r="F1265" s="363"/>
      <c r="G1265" s="364"/>
      <c r="H1265" s="363"/>
      <c r="I1265" s="363"/>
      <c r="J1265" s="364"/>
      <c r="K1265" s="363"/>
      <c r="L1265" s="363"/>
      <c r="M1265" s="737"/>
      <c r="N1265" s="332"/>
      <c r="O1265" s="332"/>
      <c r="P1265" s="332"/>
      <c r="Q1265" s="332"/>
      <c r="R1265" s="332"/>
      <c r="S1265" s="332"/>
      <c r="T1265" s="332"/>
    </row>
    <row r="1266" spans="1:20" x14ac:dyDescent="0.6">
      <c r="A1266" s="334"/>
      <c r="B1266" s="610"/>
      <c r="C1266" s="365"/>
      <c r="D1266" s="364"/>
      <c r="E1266" s="363"/>
      <c r="F1266" s="363"/>
      <c r="G1266" s="364"/>
      <c r="H1266" s="363"/>
      <c r="I1266" s="363"/>
      <c r="J1266" s="364"/>
      <c r="K1266" s="363"/>
      <c r="L1266" s="363"/>
      <c r="M1266" s="737"/>
      <c r="N1266" s="332"/>
      <c r="O1266" s="332"/>
      <c r="P1266" s="332"/>
      <c r="Q1266" s="332"/>
      <c r="R1266" s="332"/>
      <c r="S1266" s="332"/>
      <c r="T1266" s="332"/>
    </row>
    <row r="1267" spans="1:20" x14ac:dyDescent="0.6">
      <c r="A1267" s="334"/>
      <c r="B1267" s="610"/>
      <c r="C1267" s="365"/>
      <c r="D1267" s="364"/>
      <c r="E1267" s="363"/>
      <c r="F1267" s="363"/>
      <c r="G1267" s="364"/>
      <c r="H1267" s="363"/>
      <c r="I1267" s="363"/>
      <c r="J1267" s="364"/>
      <c r="K1267" s="363"/>
      <c r="L1267" s="363"/>
      <c r="M1267" s="737"/>
      <c r="N1267" s="332"/>
      <c r="O1267" s="332"/>
      <c r="P1267" s="332"/>
      <c r="Q1267" s="332"/>
      <c r="R1267" s="332"/>
      <c r="S1267" s="332"/>
      <c r="T1267" s="332"/>
    </row>
    <row r="1268" spans="1:20" x14ac:dyDescent="0.6">
      <c r="A1268" s="334"/>
      <c r="B1268" s="610"/>
      <c r="C1268" s="365"/>
      <c r="D1268" s="364"/>
      <c r="E1268" s="363"/>
      <c r="F1268" s="363"/>
      <c r="G1268" s="364"/>
      <c r="H1268" s="363"/>
      <c r="I1268" s="363"/>
      <c r="J1268" s="364"/>
      <c r="K1268" s="363"/>
      <c r="L1268" s="363"/>
      <c r="M1268" s="737"/>
      <c r="N1268" s="332"/>
      <c r="O1268" s="332"/>
      <c r="P1268" s="332"/>
      <c r="Q1268" s="332"/>
      <c r="R1268" s="332"/>
      <c r="S1268" s="332"/>
      <c r="T1268" s="332"/>
    </row>
    <row r="1269" spans="1:20" x14ac:dyDescent="0.6">
      <c r="A1269" s="334"/>
      <c r="B1269" s="610"/>
      <c r="C1269" s="365"/>
      <c r="D1269" s="364"/>
      <c r="E1269" s="363"/>
      <c r="F1269" s="363"/>
      <c r="G1269" s="364"/>
      <c r="H1269" s="363"/>
      <c r="I1269" s="363"/>
      <c r="J1269" s="364"/>
      <c r="K1269" s="363"/>
      <c r="L1269" s="363"/>
      <c r="M1269" s="737"/>
      <c r="N1269" s="332"/>
      <c r="O1269" s="332"/>
      <c r="P1269" s="332"/>
      <c r="Q1269" s="332"/>
      <c r="R1269" s="332"/>
      <c r="S1269" s="332"/>
      <c r="T1269" s="332"/>
    </row>
    <row r="1270" spans="1:20" x14ac:dyDescent="0.6">
      <c r="A1270" s="334"/>
      <c r="B1270" s="610"/>
      <c r="C1270" s="365"/>
      <c r="D1270" s="364"/>
      <c r="E1270" s="363"/>
      <c r="F1270" s="363"/>
      <c r="G1270" s="364"/>
      <c r="H1270" s="363"/>
      <c r="I1270" s="363"/>
      <c r="J1270" s="364"/>
      <c r="K1270" s="363"/>
      <c r="L1270" s="363"/>
      <c r="M1270" s="737"/>
      <c r="N1270" s="332"/>
      <c r="O1270" s="332"/>
      <c r="P1270" s="332"/>
      <c r="Q1270" s="332"/>
      <c r="R1270" s="332"/>
      <c r="S1270" s="332"/>
      <c r="T1270" s="332"/>
    </row>
    <row r="1271" spans="1:20" x14ac:dyDescent="0.6">
      <c r="A1271" s="334"/>
      <c r="B1271" s="610"/>
      <c r="C1271" s="365"/>
      <c r="D1271" s="364"/>
      <c r="E1271" s="363"/>
      <c r="F1271" s="363"/>
      <c r="G1271" s="364"/>
      <c r="H1271" s="363"/>
      <c r="I1271" s="363"/>
      <c r="J1271" s="364"/>
      <c r="K1271" s="363"/>
      <c r="L1271" s="363"/>
      <c r="M1271" s="737"/>
      <c r="N1271" s="332"/>
      <c r="O1271" s="332"/>
      <c r="P1271" s="332"/>
      <c r="Q1271" s="332"/>
      <c r="R1271" s="332"/>
      <c r="S1271" s="332"/>
      <c r="T1271" s="332"/>
    </row>
    <row r="1272" spans="1:20" x14ac:dyDescent="0.6">
      <c r="A1272" s="334"/>
      <c r="B1272" s="610"/>
      <c r="C1272" s="365"/>
      <c r="D1272" s="364"/>
      <c r="E1272" s="363"/>
      <c r="F1272" s="363"/>
      <c r="G1272" s="364"/>
      <c r="H1272" s="363"/>
      <c r="I1272" s="363"/>
      <c r="J1272" s="364"/>
      <c r="K1272" s="363"/>
      <c r="L1272" s="363"/>
      <c r="M1272" s="737"/>
      <c r="N1272" s="332"/>
      <c r="O1272" s="332"/>
      <c r="P1272" s="332"/>
      <c r="Q1272" s="332"/>
      <c r="R1272" s="332"/>
      <c r="S1272" s="332"/>
      <c r="T1272" s="332"/>
    </row>
    <row r="1273" spans="1:20" x14ac:dyDescent="0.6">
      <c r="A1273" s="334"/>
      <c r="B1273" s="610"/>
      <c r="C1273" s="365"/>
      <c r="D1273" s="364"/>
      <c r="E1273" s="363"/>
      <c r="F1273" s="363"/>
      <c r="G1273" s="364"/>
      <c r="H1273" s="363"/>
      <c r="I1273" s="363"/>
      <c r="J1273" s="364"/>
      <c r="K1273" s="363"/>
      <c r="L1273" s="363"/>
      <c r="M1273" s="737"/>
      <c r="N1273" s="332"/>
      <c r="O1273" s="332"/>
      <c r="P1273" s="332"/>
      <c r="Q1273" s="332"/>
      <c r="R1273" s="332"/>
      <c r="S1273" s="332"/>
      <c r="T1273" s="332"/>
    </row>
    <row r="1274" spans="1:20" x14ac:dyDescent="0.6">
      <c r="A1274" s="334"/>
      <c r="B1274" s="610"/>
      <c r="C1274" s="365"/>
      <c r="D1274" s="364"/>
      <c r="E1274" s="363"/>
      <c r="F1274" s="363"/>
      <c r="G1274" s="364"/>
      <c r="H1274" s="363"/>
      <c r="I1274" s="363"/>
      <c r="J1274" s="364"/>
      <c r="K1274" s="363"/>
      <c r="L1274" s="363"/>
      <c r="M1274" s="737"/>
      <c r="N1274" s="332"/>
      <c r="O1274" s="332"/>
      <c r="P1274" s="332"/>
      <c r="Q1274" s="332"/>
      <c r="R1274" s="332"/>
      <c r="S1274" s="332"/>
      <c r="T1274" s="332"/>
    </row>
    <row r="1275" spans="1:20" x14ac:dyDescent="0.6">
      <c r="A1275" s="334"/>
      <c r="B1275" s="610"/>
      <c r="C1275" s="365"/>
      <c r="D1275" s="364"/>
      <c r="E1275" s="363"/>
      <c r="F1275" s="363"/>
      <c r="G1275" s="364"/>
      <c r="H1275" s="363"/>
      <c r="I1275" s="363"/>
      <c r="J1275" s="364"/>
      <c r="K1275" s="363"/>
      <c r="L1275" s="363"/>
      <c r="M1275" s="737"/>
      <c r="N1275" s="332"/>
      <c r="O1275" s="332"/>
      <c r="P1275" s="332"/>
      <c r="Q1275" s="332"/>
      <c r="R1275" s="332"/>
      <c r="S1275" s="332"/>
      <c r="T1275" s="332"/>
    </row>
    <row r="1276" spans="1:20" x14ac:dyDescent="0.6">
      <c r="A1276" s="334"/>
      <c r="B1276" s="610"/>
      <c r="C1276" s="365"/>
      <c r="D1276" s="364"/>
      <c r="E1276" s="363"/>
      <c r="F1276" s="363"/>
      <c r="G1276" s="364"/>
      <c r="H1276" s="363"/>
      <c r="I1276" s="363"/>
      <c r="J1276" s="364"/>
      <c r="K1276" s="363"/>
      <c r="L1276" s="363"/>
      <c r="M1276" s="737"/>
      <c r="N1276" s="332"/>
      <c r="O1276" s="332"/>
      <c r="P1276" s="332"/>
      <c r="Q1276" s="332"/>
      <c r="R1276" s="332"/>
      <c r="S1276" s="332"/>
      <c r="T1276" s="332"/>
    </row>
    <row r="1277" spans="1:20" x14ac:dyDescent="0.6">
      <c r="A1277" s="334"/>
      <c r="B1277" s="610"/>
      <c r="C1277" s="365"/>
      <c r="D1277" s="364"/>
      <c r="E1277" s="363"/>
      <c r="F1277" s="363"/>
      <c r="G1277" s="364"/>
      <c r="H1277" s="363"/>
      <c r="I1277" s="363"/>
      <c r="J1277" s="364"/>
      <c r="K1277" s="363"/>
      <c r="L1277" s="363"/>
      <c r="M1277" s="737"/>
      <c r="N1277" s="332"/>
      <c r="O1277" s="332"/>
      <c r="P1277" s="332"/>
      <c r="Q1277" s="332"/>
      <c r="R1277" s="332"/>
      <c r="S1277" s="332"/>
      <c r="T1277" s="332"/>
    </row>
    <row r="1278" spans="1:20" x14ac:dyDescent="0.6">
      <c r="A1278" s="334"/>
      <c r="B1278" s="610"/>
      <c r="C1278" s="365"/>
      <c r="D1278" s="364"/>
      <c r="E1278" s="363"/>
      <c r="F1278" s="363"/>
      <c r="G1278" s="364"/>
      <c r="H1278" s="363"/>
      <c r="I1278" s="363"/>
      <c r="J1278" s="364"/>
      <c r="K1278" s="363"/>
      <c r="L1278" s="363"/>
      <c r="M1278" s="737"/>
      <c r="N1278" s="332"/>
      <c r="O1278" s="332"/>
      <c r="P1278" s="332"/>
      <c r="Q1278" s="332"/>
      <c r="R1278" s="332"/>
      <c r="S1278" s="332"/>
      <c r="T1278" s="332"/>
    </row>
    <row r="1279" spans="1:20" x14ac:dyDescent="0.6">
      <c r="A1279" s="334"/>
      <c r="B1279" s="610"/>
      <c r="C1279" s="365"/>
      <c r="D1279" s="364"/>
      <c r="E1279" s="363"/>
      <c r="F1279" s="363"/>
      <c r="G1279" s="364"/>
      <c r="H1279" s="363"/>
      <c r="I1279" s="363"/>
      <c r="J1279" s="364"/>
      <c r="K1279" s="363"/>
      <c r="L1279" s="363"/>
      <c r="M1279" s="737"/>
      <c r="N1279" s="332"/>
      <c r="O1279" s="332"/>
      <c r="P1279" s="332"/>
      <c r="Q1279" s="332"/>
      <c r="R1279" s="332"/>
      <c r="S1279" s="332"/>
      <c r="T1279" s="332"/>
    </row>
    <row r="1280" spans="1:20" x14ac:dyDescent="0.6">
      <c r="A1280" s="334"/>
      <c r="B1280" s="610"/>
      <c r="C1280" s="365"/>
      <c r="D1280" s="364"/>
      <c r="E1280" s="363"/>
      <c r="F1280" s="363"/>
      <c r="G1280" s="364"/>
      <c r="H1280" s="363"/>
      <c r="I1280" s="363"/>
      <c r="J1280" s="364"/>
      <c r="K1280" s="363"/>
      <c r="L1280" s="363"/>
      <c r="M1280" s="737"/>
      <c r="N1280" s="332"/>
      <c r="O1280" s="332"/>
      <c r="P1280" s="332"/>
      <c r="Q1280" s="332"/>
      <c r="R1280" s="332"/>
      <c r="S1280" s="332"/>
      <c r="T1280" s="332"/>
    </row>
    <row r="1281" spans="1:20" x14ac:dyDescent="0.6">
      <c r="A1281" s="334"/>
      <c r="B1281" s="610"/>
      <c r="C1281" s="365"/>
      <c r="D1281" s="364"/>
      <c r="E1281" s="363"/>
      <c r="F1281" s="363"/>
      <c r="G1281" s="364"/>
      <c r="H1281" s="363"/>
      <c r="I1281" s="363"/>
      <c r="J1281" s="364"/>
      <c r="K1281" s="363"/>
      <c r="L1281" s="363"/>
      <c r="M1281" s="737"/>
      <c r="N1281" s="332"/>
      <c r="O1281" s="332"/>
      <c r="P1281" s="332"/>
      <c r="Q1281" s="332"/>
      <c r="R1281" s="332"/>
      <c r="S1281" s="332"/>
      <c r="T1281" s="332"/>
    </row>
    <row r="1282" spans="1:20" x14ac:dyDescent="0.6">
      <c r="A1282" s="334"/>
      <c r="B1282" s="610"/>
      <c r="C1282" s="365"/>
      <c r="D1282" s="364"/>
      <c r="E1282" s="363"/>
      <c r="F1282" s="363"/>
      <c r="G1282" s="364"/>
      <c r="H1282" s="363"/>
      <c r="I1282" s="363"/>
      <c r="J1282" s="364"/>
      <c r="K1282" s="363"/>
      <c r="L1282" s="363"/>
      <c r="M1282" s="737"/>
      <c r="N1282" s="332"/>
      <c r="O1282" s="332"/>
      <c r="P1282" s="332"/>
      <c r="Q1282" s="332"/>
      <c r="R1282" s="332"/>
      <c r="S1282" s="332"/>
      <c r="T1282" s="332"/>
    </row>
    <row r="1283" spans="1:20" x14ac:dyDescent="0.6">
      <c r="A1283" s="334"/>
      <c r="B1283" s="610"/>
      <c r="C1283" s="365"/>
      <c r="D1283" s="364"/>
      <c r="E1283" s="363"/>
      <c r="F1283" s="363"/>
      <c r="G1283" s="364"/>
      <c r="H1283" s="363"/>
      <c r="I1283" s="363"/>
      <c r="J1283" s="364"/>
      <c r="K1283" s="363"/>
      <c r="L1283" s="363"/>
      <c r="M1283" s="737"/>
      <c r="N1283" s="332"/>
      <c r="O1283" s="332"/>
      <c r="P1283" s="332"/>
      <c r="Q1283" s="332"/>
      <c r="R1283" s="332"/>
      <c r="S1283" s="332"/>
      <c r="T1283" s="332"/>
    </row>
    <row r="1284" spans="1:20" x14ac:dyDescent="0.6">
      <c r="A1284" s="334"/>
      <c r="B1284" s="610"/>
      <c r="C1284" s="365"/>
      <c r="D1284" s="364"/>
      <c r="E1284" s="363"/>
      <c r="F1284" s="363"/>
      <c r="G1284" s="364"/>
      <c r="H1284" s="363"/>
      <c r="I1284" s="363"/>
      <c r="J1284" s="364"/>
      <c r="K1284" s="363"/>
      <c r="L1284" s="363"/>
      <c r="M1284" s="737"/>
      <c r="N1284" s="332"/>
      <c r="O1284" s="332"/>
      <c r="P1284" s="332"/>
      <c r="Q1284" s="332"/>
      <c r="R1284" s="332"/>
      <c r="S1284" s="332"/>
      <c r="T1284" s="332"/>
    </row>
    <row r="1285" spans="1:20" x14ac:dyDescent="0.6">
      <c r="A1285" s="334"/>
      <c r="B1285" s="610"/>
      <c r="C1285" s="365"/>
      <c r="D1285" s="364"/>
      <c r="E1285" s="363"/>
      <c r="F1285" s="363"/>
      <c r="G1285" s="364"/>
      <c r="H1285" s="363"/>
      <c r="I1285" s="363"/>
      <c r="J1285" s="364"/>
      <c r="K1285" s="363"/>
      <c r="L1285" s="363"/>
      <c r="M1285" s="737"/>
      <c r="N1285" s="332"/>
      <c r="O1285" s="332"/>
      <c r="P1285" s="332"/>
      <c r="Q1285" s="332"/>
      <c r="R1285" s="332"/>
      <c r="S1285" s="332"/>
      <c r="T1285" s="332"/>
    </row>
    <row r="1286" spans="1:20" x14ac:dyDescent="0.6">
      <c r="A1286" s="334"/>
      <c r="B1286" s="610"/>
      <c r="C1286" s="365"/>
      <c r="D1286" s="364"/>
      <c r="E1286" s="363"/>
      <c r="F1286" s="363"/>
      <c r="G1286" s="364"/>
      <c r="H1286" s="363"/>
      <c r="I1286" s="363"/>
      <c r="J1286" s="364"/>
      <c r="K1286" s="363"/>
      <c r="L1286" s="363"/>
      <c r="M1286" s="737"/>
      <c r="N1286" s="332"/>
      <c r="O1286" s="332"/>
      <c r="P1286" s="332"/>
      <c r="Q1286" s="332"/>
      <c r="R1286" s="332"/>
      <c r="S1286" s="332"/>
      <c r="T1286" s="332"/>
    </row>
    <row r="1287" spans="1:20" x14ac:dyDescent="0.6">
      <c r="A1287" s="334"/>
      <c r="B1287" s="610"/>
      <c r="C1287" s="365"/>
      <c r="D1287" s="364"/>
      <c r="E1287" s="363"/>
      <c r="F1287" s="363"/>
      <c r="G1287" s="364"/>
      <c r="H1287" s="363"/>
      <c r="I1287" s="363"/>
      <c r="J1287" s="364"/>
      <c r="K1287" s="363"/>
      <c r="L1287" s="363"/>
      <c r="M1287" s="737"/>
      <c r="N1287" s="332"/>
      <c r="O1287" s="332"/>
      <c r="P1287" s="332"/>
      <c r="Q1287" s="332"/>
      <c r="R1287" s="332"/>
      <c r="S1287" s="332"/>
      <c r="T1287" s="332"/>
    </row>
    <row r="1288" spans="1:20" x14ac:dyDescent="0.6">
      <c r="A1288" s="334"/>
      <c r="B1288" s="610"/>
      <c r="C1288" s="365"/>
      <c r="D1288" s="364"/>
      <c r="E1288" s="363"/>
      <c r="F1288" s="363"/>
      <c r="G1288" s="364"/>
      <c r="H1288" s="363"/>
      <c r="I1288" s="363"/>
      <c r="J1288" s="364"/>
      <c r="K1288" s="363"/>
      <c r="L1288" s="363"/>
      <c r="M1288" s="737"/>
      <c r="N1288" s="332"/>
      <c r="O1288" s="332"/>
      <c r="P1288" s="332"/>
      <c r="Q1288" s="332"/>
      <c r="R1288" s="332"/>
      <c r="S1288" s="332"/>
      <c r="T1288" s="332"/>
    </row>
    <row r="1289" spans="1:20" x14ac:dyDescent="0.6">
      <c r="A1289" s="334"/>
      <c r="B1289" s="610"/>
      <c r="C1289" s="365"/>
      <c r="D1289" s="364"/>
      <c r="E1289" s="363"/>
      <c r="F1289" s="363"/>
      <c r="G1289" s="364"/>
      <c r="H1289" s="363"/>
      <c r="I1289" s="363"/>
      <c r="J1289" s="364"/>
      <c r="K1289" s="363"/>
      <c r="L1289" s="363"/>
      <c r="M1289" s="737"/>
      <c r="N1289" s="332"/>
      <c r="O1289" s="332"/>
      <c r="P1289" s="332"/>
      <c r="Q1289" s="332"/>
      <c r="R1289" s="332"/>
      <c r="S1289" s="332"/>
      <c r="T1289" s="332"/>
    </row>
    <row r="1290" spans="1:20" x14ac:dyDescent="0.6">
      <c r="A1290" s="334"/>
      <c r="B1290" s="610"/>
      <c r="C1290" s="365"/>
      <c r="D1290" s="364"/>
      <c r="E1290" s="363"/>
      <c r="F1290" s="363"/>
      <c r="G1290" s="364"/>
      <c r="H1290" s="363"/>
      <c r="I1290" s="363"/>
      <c r="J1290" s="364"/>
      <c r="K1290" s="363"/>
      <c r="L1290" s="363"/>
      <c r="M1290" s="737"/>
      <c r="N1290" s="332"/>
      <c r="O1290" s="332"/>
      <c r="P1290" s="332"/>
      <c r="Q1290" s="332"/>
      <c r="R1290" s="332"/>
      <c r="S1290" s="332"/>
      <c r="T1290" s="332"/>
    </row>
    <row r="1291" spans="1:20" x14ac:dyDescent="0.6">
      <c r="A1291" s="334"/>
      <c r="B1291" s="610"/>
      <c r="C1291" s="365"/>
      <c r="D1291" s="364"/>
      <c r="E1291" s="363"/>
      <c r="F1291" s="363"/>
      <c r="G1291" s="364"/>
      <c r="H1291" s="363"/>
      <c r="I1291" s="363"/>
      <c r="J1291" s="364"/>
      <c r="K1291" s="363"/>
      <c r="L1291" s="363"/>
      <c r="M1291" s="737"/>
      <c r="N1291" s="332"/>
      <c r="O1291" s="332"/>
      <c r="P1291" s="332"/>
      <c r="Q1291" s="332"/>
      <c r="R1291" s="332"/>
      <c r="S1291" s="332"/>
      <c r="T1291" s="332"/>
    </row>
    <row r="1292" spans="1:20" x14ac:dyDescent="0.6">
      <c r="A1292" s="334"/>
      <c r="B1292" s="610"/>
      <c r="C1292" s="365"/>
      <c r="D1292" s="364"/>
      <c r="E1292" s="363"/>
      <c r="F1292" s="363"/>
      <c r="G1292" s="364"/>
      <c r="H1292" s="363"/>
      <c r="I1292" s="363"/>
      <c r="J1292" s="364"/>
      <c r="K1292" s="363"/>
      <c r="L1292" s="363"/>
      <c r="M1292" s="737"/>
      <c r="N1292" s="332"/>
      <c r="O1292" s="332"/>
      <c r="P1292" s="332"/>
      <c r="Q1292" s="332"/>
      <c r="R1292" s="332"/>
      <c r="S1292" s="332"/>
      <c r="T1292" s="332"/>
    </row>
    <row r="1293" spans="1:20" x14ac:dyDescent="0.6">
      <c r="A1293" s="334"/>
      <c r="B1293" s="610"/>
      <c r="C1293" s="365"/>
      <c r="D1293" s="364"/>
      <c r="E1293" s="363"/>
      <c r="F1293" s="363"/>
      <c r="G1293" s="364"/>
      <c r="H1293" s="363"/>
      <c r="I1293" s="363"/>
      <c r="J1293" s="364"/>
      <c r="K1293" s="363"/>
      <c r="L1293" s="363"/>
      <c r="M1293" s="737"/>
      <c r="N1293" s="332"/>
      <c r="O1293" s="332"/>
      <c r="P1293" s="332"/>
      <c r="Q1293" s="332"/>
      <c r="R1293" s="332"/>
      <c r="S1293" s="332"/>
      <c r="T1293" s="332"/>
    </row>
    <row r="1294" spans="1:20" x14ac:dyDescent="0.6">
      <c r="A1294" s="334"/>
      <c r="B1294" s="610"/>
      <c r="C1294" s="365"/>
      <c r="D1294" s="364"/>
      <c r="E1294" s="363"/>
      <c r="F1294" s="363"/>
      <c r="G1294" s="364"/>
      <c r="H1294" s="363"/>
      <c r="I1294" s="363"/>
      <c r="J1294" s="364"/>
      <c r="K1294" s="363"/>
      <c r="L1294" s="363"/>
      <c r="M1294" s="737"/>
      <c r="N1294" s="332"/>
      <c r="O1294" s="332"/>
      <c r="P1294" s="332"/>
      <c r="Q1294" s="332"/>
      <c r="R1294" s="332"/>
      <c r="S1294" s="332"/>
      <c r="T1294" s="332"/>
    </row>
    <row r="1295" spans="1:20" x14ac:dyDescent="0.6">
      <c r="A1295" s="334"/>
      <c r="B1295" s="610"/>
      <c r="C1295" s="365"/>
      <c r="D1295" s="364"/>
      <c r="E1295" s="363"/>
      <c r="F1295" s="363"/>
      <c r="G1295" s="364"/>
      <c r="H1295" s="363"/>
      <c r="I1295" s="363"/>
      <c r="J1295" s="364"/>
      <c r="K1295" s="363"/>
      <c r="L1295" s="363"/>
      <c r="M1295" s="737"/>
      <c r="N1295" s="332"/>
      <c r="O1295" s="332"/>
      <c r="P1295" s="332"/>
      <c r="Q1295" s="332"/>
      <c r="R1295" s="332"/>
      <c r="S1295" s="332"/>
      <c r="T1295" s="332"/>
    </row>
    <row r="1296" spans="1:20" x14ac:dyDescent="0.6">
      <c r="A1296" s="334"/>
      <c r="B1296" s="610"/>
      <c r="C1296" s="365"/>
      <c r="D1296" s="364"/>
      <c r="E1296" s="363"/>
      <c r="F1296" s="363"/>
      <c r="G1296" s="364"/>
      <c r="H1296" s="363"/>
      <c r="I1296" s="363"/>
      <c r="J1296" s="364"/>
      <c r="K1296" s="363"/>
      <c r="L1296" s="363"/>
      <c r="M1296" s="737"/>
      <c r="N1296" s="332"/>
      <c r="O1296" s="332"/>
      <c r="P1296" s="332"/>
      <c r="Q1296" s="332"/>
      <c r="R1296" s="332"/>
      <c r="S1296" s="332"/>
      <c r="T1296" s="332"/>
    </row>
    <row r="1297" spans="1:20" x14ac:dyDescent="0.6">
      <c r="A1297" s="334"/>
      <c r="B1297" s="610"/>
      <c r="C1297" s="365"/>
      <c r="D1297" s="364"/>
      <c r="E1297" s="363"/>
      <c r="F1297" s="363"/>
      <c r="G1297" s="364"/>
      <c r="H1297" s="363"/>
      <c r="I1297" s="363"/>
      <c r="J1297" s="364"/>
      <c r="K1297" s="363"/>
      <c r="L1297" s="363"/>
      <c r="M1297" s="737"/>
      <c r="N1297" s="332"/>
      <c r="O1297" s="332"/>
      <c r="P1297" s="332"/>
      <c r="Q1297" s="332"/>
      <c r="R1297" s="332"/>
      <c r="S1297" s="332"/>
      <c r="T1297" s="332"/>
    </row>
    <row r="1298" spans="1:20" x14ac:dyDescent="0.6">
      <c r="A1298" s="334"/>
      <c r="B1298" s="610"/>
      <c r="C1298" s="365"/>
      <c r="D1298" s="364"/>
      <c r="E1298" s="363"/>
      <c r="F1298" s="363"/>
      <c r="G1298" s="364"/>
      <c r="H1298" s="363"/>
      <c r="I1298" s="363"/>
      <c r="J1298" s="364"/>
      <c r="K1298" s="363"/>
      <c r="L1298" s="363"/>
      <c r="M1298" s="737"/>
      <c r="N1298" s="332"/>
      <c r="O1298" s="332"/>
      <c r="P1298" s="332"/>
      <c r="Q1298" s="332"/>
      <c r="R1298" s="332"/>
      <c r="S1298" s="332"/>
      <c r="T1298" s="332"/>
    </row>
    <row r="1299" spans="1:20" x14ac:dyDescent="0.6">
      <c r="A1299" s="334"/>
      <c r="B1299" s="610"/>
      <c r="C1299" s="365"/>
      <c r="D1299" s="364"/>
      <c r="E1299" s="363"/>
      <c r="F1299" s="363"/>
      <c r="G1299" s="364"/>
      <c r="H1299" s="363"/>
      <c r="I1299" s="363"/>
      <c r="J1299" s="364"/>
      <c r="K1299" s="363"/>
      <c r="L1299" s="363"/>
      <c r="M1299" s="737"/>
      <c r="N1299" s="332"/>
      <c r="O1299" s="332"/>
      <c r="P1299" s="332"/>
      <c r="Q1299" s="332"/>
      <c r="R1299" s="332"/>
      <c r="S1299" s="332"/>
      <c r="T1299" s="332"/>
    </row>
    <row r="1300" spans="1:20" x14ac:dyDescent="0.6">
      <c r="A1300" s="334"/>
      <c r="B1300" s="610"/>
      <c r="C1300" s="365"/>
      <c r="D1300" s="364"/>
      <c r="E1300" s="363"/>
      <c r="F1300" s="363"/>
      <c r="G1300" s="364"/>
      <c r="H1300" s="363"/>
      <c r="I1300" s="363"/>
      <c r="J1300" s="364"/>
      <c r="K1300" s="363"/>
      <c r="L1300" s="363"/>
      <c r="M1300" s="737"/>
      <c r="N1300" s="332"/>
      <c r="O1300" s="332"/>
      <c r="P1300" s="332"/>
      <c r="Q1300" s="332"/>
      <c r="R1300" s="332"/>
      <c r="S1300" s="332"/>
      <c r="T1300" s="332"/>
    </row>
    <row r="1301" spans="1:20" x14ac:dyDescent="0.6">
      <c r="A1301" s="334"/>
      <c r="B1301" s="610"/>
      <c r="C1301" s="365"/>
      <c r="D1301" s="364"/>
      <c r="E1301" s="363"/>
      <c r="F1301" s="363"/>
      <c r="G1301" s="364"/>
      <c r="H1301" s="363"/>
      <c r="I1301" s="363"/>
      <c r="J1301" s="364"/>
      <c r="K1301" s="363"/>
      <c r="L1301" s="363"/>
      <c r="M1301" s="737"/>
      <c r="N1301" s="332"/>
      <c r="O1301" s="332"/>
      <c r="P1301" s="332"/>
      <c r="Q1301" s="332"/>
      <c r="R1301" s="332"/>
      <c r="S1301" s="332"/>
      <c r="T1301" s="332"/>
    </row>
    <row r="1302" spans="1:20" x14ac:dyDescent="0.6">
      <c r="A1302" s="334"/>
      <c r="B1302" s="610"/>
      <c r="C1302" s="365"/>
      <c r="D1302" s="364"/>
      <c r="E1302" s="363"/>
      <c r="F1302" s="363"/>
      <c r="G1302" s="364"/>
      <c r="H1302" s="363"/>
      <c r="I1302" s="363"/>
      <c r="J1302" s="364"/>
      <c r="K1302" s="363"/>
      <c r="L1302" s="363"/>
      <c r="M1302" s="737"/>
      <c r="N1302" s="332"/>
      <c r="O1302" s="332"/>
      <c r="P1302" s="332"/>
      <c r="Q1302" s="332"/>
      <c r="R1302" s="332"/>
      <c r="S1302" s="332"/>
      <c r="T1302" s="332"/>
    </row>
    <row r="1303" spans="1:20" x14ac:dyDescent="0.6">
      <c r="A1303" s="334"/>
      <c r="B1303" s="610"/>
      <c r="C1303" s="365"/>
      <c r="D1303" s="364"/>
      <c r="E1303" s="363"/>
      <c r="F1303" s="363"/>
      <c r="G1303" s="364"/>
      <c r="H1303" s="363"/>
      <c r="I1303" s="363"/>
      <c r="J1303" s="364"/>
      <c r="K1303" s="363"/>
      <c r="L1303" s="363"/>
      <c r="M1303" s="737"/>
      <c r="N1303" s="332"/>
      <c r="O1303" s="332"/>
      <c r="P1303" s="332"/>
      <c r="Q1303" s="332"/>
      <c r="R1303" s="332"/>
      <c r="S1303" s="332"/>
      <c r="T1303" s="332"/>
    </row>
    <row r="1304" spans="1:20" x14ac:dyDescent="0.6">
      <c r="A1304" s="334"/>
      <c r="B1304" s="610"/>
      <c r="C1304" s="365"/>
      <c r="D1304" s="364"/>
      <c r="E1304" s="363"/>
      <c r="F1304" s="363"/>
      <c r="G1304" s="364"/>
      <c r="H1304" s="363"/>
      <c r="I1304" s="363"/>
      <c r="J1304" s="364"/>
      <c r="K1304" s="363"/>
      <c r="L1304" s="363"/>
      <c r="M1304" s="737"/>
      <c r="N1304" s="332"/>
      <c r="O1304" s="332"/>
      <c r="P1304" s="332"/>
      <c r="Q1304" s="332"/>
      <c r="R1304" s="332"/>
      <c r="S1304" s="332"/>
      <c r="T1304" s="332"/>
    </row>
    <row r="1305" spans="1:20" x14ac:dyDescent="0.6">
      <c r="A1305" s="334"/>
      <c r="B1305" s="610"/>
      <c r="C1305" s="365"/>
      <c r="D1305" s="364"/>
      <c r="E1305" s="363"/>
      <c r="F1305" s="363"/>
      <c r="G1305" s="364"/>
      <c r="H1305" s="363"/>
      <c r="I1305" s="363"/>
      <c r="J1305" s="364"/>
      <c r="K1305" s="363"/>
      <c r="L1305" s="363"/>
      <c r="M1305" s="737"/>
      <c r="N1305" s="332"/>
      <c r="O1305" s="332"/>
      <c r="P1305" s="332"/>
      <c r="Q1305" s="332"/>
      <c r="R1305" s="332"/>
      <c r="S1305" s="332"/>
      <c r="T1305" s="332"/>
    </row>
    <row r="1306" spans="1:20" x14ac:dyDescent="0.6">
      <c r="A1306" s="334"/>
      <c r="B1306" s="610"/>
      <c r="C1306" s="365"/>
      <c r="D1306" s="364"/>
      <c r="E1306" s="363"/>
      <c r="F1306" s="363"/>
      <c r="G1306" s="364"/>
      <c r="H1306" s="363"/>
      <c r="I1306" s="363"/>
      <c r="J1306" s="364"/>
      <c r="K1306" s="363"/>
      <c r="L1306" s="363"/>
      <c r="M1306" s="737"/>
      <c r="N1306" s="332"/>
      <c r="O1306" s="332"/>
      <c r="P1306" s="332"/>
      <c r="Q1306" s="332"/>
      <c r="R1306" s="332"/>
      <c r="S1306" s="332"/>
      <c r="T1306" s="332"/>
    </row>
    <row r="1307" spans="1:20" x14ac:dyDescent="0.6">
      <c r="A1307" s="334"/>
      <c r="B1307" s="610"/>
      <c r="C1307" s="365"/>
      <c r="D1307" s="364"/>
      <c r="E1307" s="363"/>
      <c r="F1307" s="363"/>
      <c r="G1307" s="364"/>
      <c r="H1307" s="363"/>
      <c r="I1307" s="363"/>
      <c r="J1307" s="364"/>
      <c r="K1307" s="363"/>
      <c r="L1307" s="363"/>
      <c r="M1307" s="737"/>
      <c r="N1307" s="332"/>
      <c r="O1307" s="332"/>
      <c r="P1307" s="332"/>
      <c r="Q1307" s="332"/>
      <c r="R1307" s="332"/>
      <c r="S1307" s="332"/>
      <c r="T1307" s="332"/>
    </row>
    <row r="1308" spans="1:20" x14ac:dyDescent="0.6">
      <c r="A1308" s="334"/>
      <c r="B1308" s="610"/>
      <c r="C1308" s="365"/>
      <c r="D1308" s="364"/>
      <c r="E1308" s="363"/>
      <c r="F1308" s="363"/>
      <c r="G1308" s="364"/>
      <c r="H1308" s="363"/>
      <c r="I1308" s="363"/>
      <c r="J1308" s="364"/>
      <c r="K1308" s="363"/>
      <c r="L1308" s="363"/>
      <c r="M1308" s="737"/>
      <c r="N1308" s="332"/>
      <c r="O1308" s="332"/>
      <c r="P1308" s="332"/>
      <c r="Q1308" s="332"/>
      <c r="R1308" s="332"/>
      <c r="S1308" s="332"/>
      <c r="T1308" s="332"/>
    </row>
    <row r="1309" spans="1:20" x14ac:dyDescent="0.6">
      <c r="A1309" s="334"/>
      <c r="B1309" s="610"/>
      <c r="C1309" s="365"/>
      <c r="D1309" s="364"/>
      <c r="E1309" s="363"/>
      <c r="F1309" s="363"/>
      <c r="G1309" s="364"/>
      <c r="H1309" s="363"/>
      <c r="I1309" s="363"/>
      <c r="J1309" s="364"/>
      <c r="K1309" s="363"/>
      <c r="L1309" s="363"/>
      <c r="M1309" s="737"/>
      <c r="N1309" s="332"/>
      <c r="O1309" s="332"/>
      <c r="P1309" s="332"/>
      <c r="Q1309" s="332"/>
      <c r="R1309" s="332"/>
      <c r="S1309" s="332"/>
      <c r="T1309" s="332"/>
    </row>
    <row r="1310" spans="1:20" x14ac:dyDescent="0.6">
      <c r="A1310" s="334"/>
      <c r="B1310" s="610"/>
      <c r="C1310" s="365"/>
      <c r="D1310" s="364"/>
      <c r="E1310" s="363"/>
      <c r="F1310" s="363"/>
      <c r="G1310" s="364"/>
      <c r="H1310" s="363"/>
      <c r="I1310" s="363"/>
      <c r="J1310" s="364"/>
      <c r="K1310" s="363"/>
      <c r="L1310" s="363"/>
      <c r="M1310" s="737"/>
      <c r="N1310" s="332"/>
      <c r="O1310" s="332"/>
      <c r="P1310" s="332"/>
      <c r="Q1310" s="332"/>
      <c r="R1310" s="332"/>
      <c r="S1310" s="332"/>
      <c r="T1310" s="332"/>
    </row>
    <row r="1311" spans="1:20" x14ac:dyDescent="0.6">
      <c r="A1311" s="334"/>
      <c r="B1311" s="610"/>
      <c r="C1311" s="365"/>
      <c r="D1311" s="364"/>
      <c r="E1311" s="363"/>
      <c r="F1311" s="363"/>
      <c r="G1311" s="364"/>
      <c r="H1311" s="363"/>
      <c r="I1311" s="363"/>
      <c r="J1311" s="364"/>
      <c r="K1311" s="363"/>
      <c r="L1311" s="363"/>
      <c r="M1311" s="737"/>
      <c r="N1311" s="332"/>
      <c r="O1311" s="332"/>
      <c r="P1311" s="332"/>
      <c r="Q1311" s="332"/>
      <c r="R1311" s="332"/>
      <c r="S1311" s="332"/>
      <c r="T1311" s="332"/>
    </row>
    <row r="1312" spans="1:20" x14ac:dyDescent="0.6">
      <c r="A1312" s="334"/>
      <c r="B1312" s="610"/>
      <c r="C1312" s="365"/>
      <c r="D1312" s="364"/>
      <c r="E1312" s="363"/>
      <c r="F1312" s="363"/>
      <c r="G1312" s="364"/>
      <c r="H1312" s="363"/>
      <c r="I1312" s="363"/>
      <c r="J1312" s="364"/>
      <c r="K1312" s="363"/>
      <c r="L1312" s="363"/>
      <c r="M1312" s="737"/>
      <c r="N1312" s="332"/>
      <c r="O1312" s="332"/>
      <c r="P1312" s="332"/>
      <c r="Q1312" s="332"/>
      <c r="R1312" s="332"/>
      <c r="S1312" s="332"/>
      <c r="T1312" s="332"/>
    </row>
    <row r="1313" spans="1:20" x14ac:dyDescent="0.6">
      <c r="A1313" s="334"/>
      <c r="B1313" s="610"/>
      <c r="C1313" s="365"/>
      <c r="D1313" s="364"/>
      <c r="E1313" s="363"/>
      <c r="F1313" s="363"/>
      <c r="G1313" s="364"/>
      <c r="H1313" s="363"/>
      <c r="I1313" s="363"/>
      <c r="J1313" s="364"/>
      <c r="K1313" s="363"/>
      <c r="L1313" s="363"/>
      <c r="M1313" s="737"/>
      <c r="N1313" s="332"/>
      <c r="O1313" s="332"/>
      <c r="P1313" s="332"/>
      <c r="Q1313" s="332"/>
      <c r="R1313" s="332"/>
      <c r="S1313" s="332"/>
      <c r="T1313" s="332"/>
    </row>
    <row r="1314" spans="1:20" x14ac:dyDescent="0.6">
      <c r="A1314" s="334"/>
      <c r="B1314" s="610"/>
      <c r="C1314" s="365"/>
      <c r="D1314" s="364"/>
      <c r="E1314" s="363"/>
      <c r="F1314" s="363"/>
      <c r="G1314" s="364"/>
      <c r="H1314" s="363"/>
      <c r="I1314" s="363"/>
      <c r="J1314" s="364"/>
      <c r="K1314" s="363"/>
      <c r="L1314" s="363"/>
      <c r="M1314" s="737"/>
      <c r="N1314" s="332"/>
      <c r="O1314" s="332"/>
      <c r="P1314" s="332"/>
      <c r="Q1314" s="332"/>
      <c r="R1314" s="332"/>
      <c r="S1314" s="332"/>
      <c r="T1314" s="332"/>
    </row>
    <row r="1315" spans="1:20" x14ac:dyDescent="0.6">
      <c r="A1315" s="334"/>
      <c r="B1315" s="610"/>
      <c r="C1315" s="365"/>
      <c r="D1315" s="364"/>
      <c r="E1315" s="363"/>
      <c r="F1315" s="363"/>
      <c r="G1315" s="364"/>
      <c r="H1315" s="363"/>
      <c r="I1315" s="363"/>
      <c r="J1315" s="364"/>
      <c r="K1315" s="363"/>
      <c r="L1315" s="363"/>
      <c r="M1315" s="737"/>
      <c r="N1315" s="332"/>
      <c r="O1315" s="332"/>
      <c r="P1315" s="332"/>
      <c r="Q1315" s="332"/>
      <c r="R1315" s="332"/>
      <c r="S1315" s="332"/>
      <c r="T1315" s="332"/>
    </row>
    <row r="1316" spans="1:20" x14ac:dyDescent="0.6">
      <c r="A1316" s="334"/>
      <c r="B1316" s="610"/>
      <c r="C1316" s="365"/>
      <c r="D1316" s="364"/>
      <c r="E1316" s="363"/>
      <c r="F1316" s="363"/>
      <c r="G1316" s="364"/>
      <c r="H1316" s="363"/>
      <c r="I1316" s="363"/>
      <c r="J1316" s="364"/>
      <c r="K1316" s="363"/>
      <c r="L1316" s="363"/>
      <c r="M1316" s="737"/>
      <c r="N1316" s="332"/>
      <c r="O1316" s="332"/>
      <c r="P1316" s="332"/>
      <c r="Q1316" s="332"/>
      <c r="R1316" s="332"/>
      <c r="S1316" s="332"/>
      <c r="T1316" s="332"/>
    </row>
    <row r="1317" spans="1:20" x14ac:dyDescent="0.6">
      <c r="A1317" s="334"/>
      <c r="B1317" s="610"/>
      <c r="C1317" s="365"/>
      <c r="D1317" s="364"/>
      <c r="E1317" s="363"/>
      <c r="F1317" s="363"/>
      <c r="G1317" s="364"/>
      <c r="H1317" s="363"/>
      <c r="I1317" s="363"/>
      <c r="J1317" s="364"/>
      <c r="K1317" s="363"/>
      <c r="L1317" s="363"/>
      <c r="M1317" s="737"/>
      <c r="N1317" s="332"/>
      <c r="O1317" s="332"/>
      <c r="P1317" s="332"/>
      <c r="Q1317" s="332"/>
      <c r="R1317" s="332"/>
      <c r="S1317" s="332"/>
      <c r="T1317" s="332"/>
    </row>
    <row r="1318" spans="1:20" x14ac:dyDescent="0.6">
      <c r="A1318" s="334"/>
      <c r="B1318" s="610"/>
      <c r="C1318" s="365"/>
      <c r="D1318" s="364"/>
      <c r="E1318" s="363"/>
      <c r="F1318" s="363"/>
      <c r="G1318" s="364"/>
      <c r="H1318" s="363"/>
      <c r="I1318" s="363"/>
      <c r="J1318" s="364"/>
      <c r="K1318" s="363"/>
      <c r="L1318" s="363"/>
      <c r="M1318" s="737"/>
      <c r="N1318" s="332"/>
      <c r="O1318" s="332"/>
      <c r="P1318" s="332"/>
      <c r="Q1318" s="332"/>
      <c r="R1318" s="332"/>
      <c r="S1318" s="332"/>
      <c r="T1318" s="332"/>
    </row>
    <row r="1319" spans="1:20" x14ac:dyDescent="0.6">
      <c r="A1319" s="334"/>
      <c r="B1319" s="610"/>
      <c r="C1319" s="365"/>
      <c r="D1319" s="364"/>
      <c r="E1319" s="363"/>
      <c r="F1319" s="363"/>
      <c r="G1319" s="364"/>
      <c r="H1319" s="363"/>
      <c r="I1319" s="363"/>
      <c r="J1319" s="364"/>
      <c r="K1319" s="363"/>
      <c r="L1319" s="363"/>
      <c r="M1319" s="737"/>
      <c r="N1319" s="332"/>
      <c r="O1319" s="332"/>
      <c r="P1319" s="332"/>
      <c r="Q1319" s="332"/>
      <c r="R1319" s="332"/>
      <c r="S1319" s="332"/>
      <c r="T1319" s="332"/>
    </row>
    <row r="1320" spans="1:20" x14ac:dyDescent="0.6">
      <c r="A1320" s="334"/>
      <c r="B1320" s="610"/>
      <c r="C1320" s="365"/>
      <c r="D1320" s="364"/>
      <c r="E1320" s="363"/>
      <c r="F1320" s="363"/>
      <c r="G1320" s="364"/>
      <c r="H1320" s="363"/>
      <c r="I1320" s="363"/>
      <c r="J1320" s="364"/>
      <c r="K1320" s="363"/>
      <c r="L1320" s="363"/>
      <c r="M1320" s="737"/>
      <c r="N1320" s="332"/>
      <c r="O1320" s="332"/>
      <c r="P1320" s="332"/>
      <c r="Q1320" s="332"/>
      <c r="R1320" s="332"/>
      <c r="S1320" s="332"/>
      <c r="T1320" s="332"/>
    </row>
    <row r="1321" spans="1:20" x14ac:dyDescent="0.6">
      <c r="A1321" s="334"/>
      <c r="B1321" s="610"/>
      <c r="C1321" s="365"/>
      <c r="D1321" s="364"/>
      <c r="E1321" s="363"/>
      <c r="F1321" s="363"/>
      <c r="G1321" s="364"/>
      <c r="H1321" s="363"/>
      <c r="I1321" s="363"/>
      <c r="J1321" s="364"/>
      <c r="K1321" s="363"/>
      <c r="L1321" s="363"/>
      <c r="M1321" s="737"/>
      <c r="N1321" s="332"/>
      <c r="O1321" s="332"/>
      <c r="P1321" s="332"/>
      <c r="Q1321" s="332"/>
      <c r="R1321" s="332"/>
      <c r="S1321" s="332"/>
      <c r="T1321" s="332"/>
    </row>
    <row r="1322" spans="1:20" x14ac:dyDescent="0.6">
      <c r="A1322" s="334"/>
      <c r="B1322" s="610"/>
      <c r="C1322" s="365"/>
      <c r="D1322" s="364"/>
      <c r="E1322" s="363"/>
      <c r="F1322" s="363"/>
      <c r="G1322" s="364"/>
      <c r="H1322" s="363"/>
      <c r="I1322" s="363"/>
      <c r="J1322" s="364"/>
      <c r="K1322" s="363"/>
      <c r="L1322" s="363"/>
      <c r="M1322" s="737"/>
      <c r="N1322" s="332"/>
      <c r="O1322" s="332"/>
      <c r="P1322" s="332"/>
      <c r="Q1322" s="332"/>
      <c r="R1322" s="332"/>
      <c r="S1322" s="332"/>
      <c r="T1322" s="332"/>
    </row>
    <row r="1323" spans="1:20" x14ac:dyDescent="0.6">
      <c r="A1323" s="334"/>
      <c r="B1323" s="610"/>
      <c r="C1323" s="365"/>
      <c r="D1323" s="364"/>
      <c r="E1323" s="363"/>
      <c r="F1323" s="363"/>
      <c r="G1323" s="364"/>
      <c r="H1323" s="363"/>
      <c r="I1323" s="363"/>
      <c r="J1323" s="364"/>
      <c r="K1323" s="363"/>
      <c r="L1323" s="363"/>
      <c r="M1323" s="737"/>
      <c r="N1323" s="332"/>
      <c r="O1323" s="332"/>
      <c r="P1323" s="332"/>
      <c r="Q1323" s="332"/>
      <c r="R1323" s="332"/>
      <c r="S1323" s="332"/>
      <c r="T1323" s="332"/>
    </row>
    <row r="1324" spans="1:20" x14ac:dyDescent="0.6">
      <c r="A1324" s="334"/>
      <c r="B1324" s="610"/>
      <c r="C1324" s="365"/>
      <c r="D1324" s="364"/>
      <c r="E1324" s="363"/>
      <c r="F1324" s="363"/>
      <c r="G1324" s="364"/>
      <c r="H1324" s="363"/>
      <c r="I1324" s="363"/>
      <c r="J1324" s="364"/>
      <c r="K1324" s="363"/>
      <c r="L1324" s="363"/>
      <c r="M1324" s="737"/>
      <c r="N1324" s="332"/>
      <c r="O1324" s="332"/>
      <c r="P1324" s="332"/>
      <c r="Q1324" s="332"/>
      <c r="R1324" s="332"/>
      <c r="S1324" s="332"/>
      <c r="T1324" s="332"/>
    </row>
    <row r="1325" spans="1:20" x14ac:dyDescent="0.6">
      <c r="A1325" s="334"/>
      <c r="B1325" s="610"/>
      <c r="C1325" s="365"/>
      <c r="D1325" s="364"/>
      <c r="E1325" s="363"/>
      <c r="F1325" s="363"/>
      <c r="G1325" s="364"/>
      <c r="H1325" s="363"/>
      <c r="I1325" s="363"/>
      <c r="J1325" s="364"/>
      <c r="K1325" s="363"/>
      <c r="L1325" s="363"/>
      <c r="M1325" s="737"/>
      <c r="N1325" s="332"/>
      <c r="O1325" s="332"/>
      <c r="P1325" s="332"/>
      <c r="Q1325" s="332"/>
      <c r="R1325" s="332"/>
      <c r="S1325" s="332"/>
      <c r="T1325" s="332"/>
    </row>
    <row r="1326" spans="1:20" x14ac:dyDescent="0.6">
      <c r="A1326" s="334"/>
      <c r="B1326" s="610"/>
      <c r="C1326" s="365"/>
      <c r="D1326" s="364"/>
      <c r="E1326" s="363"/>
      <c r="F1326" s="363"/>
      <c r="G1326" s="364"/>
      <c r="H1326" s="363"/>
      <c r="I1326" s="363"/>
      <c r="J1326" s="364"/>
      <c r="K1326" s="363"/>
      <c r="L1326" s="363"/>
      <c r="M1326" s="737"/>
      <c r="N1326" s="332"/>
      <c r="O1326" s="332"/>
      <c r="P1326" s="332"/>
      <c r="Q1326" s="332"/>
      <c r="R1326" s="332"/>
      <c r="S1326" s="332"/>
      <c r="T1326" s="332"/>
    </row>
    <row r="1327" spans="1:20" x14ac:dyDescent="0.6">
      <c r="A1327" s="334"/>
      <c r="B1327" s="610"/>
      <c r="C1327" s="365"/>
      <c r="D1327" s="364"/>
      <c r="E1327" s="363"/>
      <c r="F1327" s="363"/>
      <c r="G1327" s="364"/>
      <c r="H1327" s="363"/>
      <c r="I1327" s="363"/>
      <c r="J1327" s="364"/>
      <c r="K1327" s="363"/>
      <c r="L1327" s="363"/>
      <c r="M1327" s="737"/>
      <c r="N1327" s="332"/>
      <c r="O1327" s="332"/>
      <c r="P1327" s="332"/>
      <c r="Q1327" s="332"/>
      <c r="R1327" s="332"/>
      <c r="S1327" s="332"/>
      <c r="T1327" s="332"/>
    </row>
    <row r="1328" spans="1:20" x14ac:dyDescent="0.6">
      <c r="A1328" s="334"/>
      <c r="B1328" s="610"/>
      <c r="C1328" s="365"/>
      <c r="D1328" s="364"/>
      <c r="E1328" s="363"/>
      <c r="F1328" s="363"/>
      <c r="G1328" s="364"/>
      <c r="H1328" s="363"/>
      <c r="I1328" s="363"/>
      <c r="J1328" s="364"/>
      <c r="K1328" s="363"/>
      <c r="L1328" s="363"/>
      <c r="M1328" s="737"/>
      <c r="N1328" s="332"/>
      <c r="O1328" s="332"/>
      <c r="P1328" s="332"/>
      <c r="Q1328" s="332"/>
      <c r="R1328" s="332"/>
      <c r="S1328" s="332"/>
      <c r="T1328" s="332"/>
    </row>
    <row r="1329" spans="1:20" x14ac:dyDescent="0.6">
      <c r="A1329" s="334"/>
      <c r="B1329" s="610"/>
      <c r="C1329" s="365"/>
      <c r="D1329" s="364"/>
      <c r="E1329" s="363"/>
      <c r="F1329" s="363"/>
      <c r="G1329" s="364"/>
      <c r="H1329" s="363"/>
      <c r="I1329" s="363"/>
      <c r="J1329" s="364"/>
      <c r="K1329" s="363"/>
      <c r="L1329" s="363"/>
      <c r="M1329" s="737"/>
      <c r="N1329" s="332"/>
      <c r="O1329" s="332"/>
      <c r="P1329" s="332"/>
      <c r="Q1329" s="332"/>
      <c r="R1329" s="332"/>
      <c r="S1329" s="332"/>
      <c r="T1329" s="332"/>
    </row>
    <row r="1330" spans="1:20" x14ac:dyDescent="0.6">
      <c r="A1330" s="334"/>
      <c r="B1330" s="610"/>
      <c r="C1330" s="365"/>
      <c r="D1330" s="364"/>
      <c r="E1330" s="363"/>
      <c r="F1330" s="363"/>
      <c r="G1330" s="364"/>
      <c r="H1330" s="363"/>
      <c r="I1330" s="363"/>
      <c r="J1330" s="364"/>
      <c r="K1330" s="363"/>
      <c r="L1330" s="363"/>
      <c r="M1330" s="737"/>
      <c r="N1330" s="332"/>
      <c r="O1330" s="332"/>
      <c r="P1330" s="332"/>
      <c r="Q1330" s="332"/>
      <c r="R1330" s="332"/>
      <c r="S1330" s="332"/>
      <c r="T1330" s="332"/>
    </row>
    <row r="1331" spans="1:20" x14ac:dyDescent="0.6">
      <c r="A1331" s="334"/>
      <c r="B1331" s="610"/>
      <c r="C1331" s="365"/>
      <c r="D1331" s="364"/>
      <c r="E1331" s="363"/>
      <c r="F1331" s="363"/>
      <c r="G1331" s="364"/>
      <c r="H1331" s="363"/>
      <c r="I1331" s="363"/>
      <c r="J1331" s="364"/>
      <c r="K1331" s="363"/>
      <c r="L1331" s="363"/>
      <c r="M1331" s="737"/>
      <c r="N1331" s="332"/>
      <c r="O1331" s="332"/>
      <c r="P1331" s="332"/>
      <c r="Q1331" s="332"/>
      <c r="R1331" s="332"/>
      <c r="S1331" s="332"/>
      <c r="T1331" s="332"/>
    </row>
    <row r="1332" spans="1:20" x14ac:dyDescent="0.6">
      <c r="A1332" s="334"/>
      <c r="B1332" s="610"/>
      <c r="C1332" s="365"/>
      <c r="D1332" s="364"/>
      <c r="E1332" s="363"/>
      <c r="F1332" s="363"/>
      <c r="G1332" s="364"/>
      <c r="H1332" s="363"/>
      <c r="I1332" s="363"/>
      <c r="J1332" s="364"/>
      <c r="K1332" s="363"/>
      <c r="L1332" s="363"/>
      <c r="M1332" s="737"/>
      <c r="N1332" s="332"/>
      <c r="O1332" s="332"/>
      <c r="P1332" s="332"/>
      <c r="Q1332" s="332"/>
      <c r="R1332" s="332"/>
      <c r="S1332" s="332"/>
      <c r="T1332" s="332"/>
    </row>
    <row r="1333" spans="1:20" x14ac:dyDescent="0.6">
      <c r="A1333" s="334"/>
      <c r="B1333" s="610"/>
      <c r="C1333" s="365"/>
      <c r="D1333" s="364"/>
      <c r="E1333" s="363"/>
      <c r="F1333" s="363"/>
      <c r="G1333" s="364"/>
      <c r="H1333" s="363"/>
      <c r="I1333" s="363"/>
      <c r="J1333" s="364"/>
      <c r="K1333" s="363"/>
      <c r="L1333" s="363"/>
      <c r="M1333" s="737"/>
      <c r="N1333" s="332"/>
      <c r="O1333" s="332"/>
      <c r="P1333" s="332"/>
      <c r="Q1333" s="332"/>
      <c r="R1333" s="332"/>
      <c r="S1333" s="332"/>
      <c r="T1333" s="332"/>
    </row>
    <row r="1334" spans="1:20" x14ac:dyDescent="0.6">
      <c r="A1334" s="334"/>
      <c r="B1334" s="610"/>
      <c r="C1334" s="365"/>
      <c r="D1334" s="364"/>
      <c r="E1334" s="363"/>
      <c r="F1334" s="363"/>
      <c r="G1334" s="364"/>
      <c r="H1334" s="363"/>
      <c r="I1334" s="363"/>
      <c r="J1334" s="364"/>
      <c r="K1334" s="363"/>
      <c r="L1334" s="363"/>
      <c r="M1334" s="737"/>
      <c r="N1334" s="332"/>
      <c r="O1334" s="332"/>
      <c r="P1334" s="332"/>
      <c r="Q1334" s="332"/>
      <c r="R1334" s="332"/>
      <c r="S1334" s="332"/>
      <c r="T1334" s="332"/>
    </row>
    <row r="1335" spans="1:20" x14ac:dyDescent="0.6">
      <c r="A1335" s="334"/>
      <c r="B1335" s="610"/>
      <c r="C1335" s="365"/>
      <c r="D1335" s="364"/>
      <c r="E1335" s="363"/>
      <c r="F1335" s="363"/>
      <c r="G1335" s="364"/>
      <c r="H1335" s="363"/>
      <c r="I1335" s="363"/>
      <c r="J1335" s="364"/>
      <c r="K1335" s="363"/>
      <c r="L1335" s="363"/>
      <c r="M1335" s="737"/>
      <c r="N1335" s="332"/>
      <c r="O1335" s="332"/>
      <c r="P1335" s="332"/>
      <c r="Q1335" s="332"/>
      <c r="R1335" s="332"/>
      <c r="S1335" s="332"/>
      <c r="T1335" s="332"/>
    </row>
    <row r="1336" spans="1:20" x14ac:dyDescent="0.6">
      <c r="A1336" s="334"/>
      <c r="B1336" s="610"/>
      <c r="C1336" s="365"/>
      <c r="D1336" s="364"/>
      <c r="E1336" s="363"/>
      <c r="F1336" s="363"/>
      <c r="G1336" s="364"/>
      <c r="H1336" s="363"/>
      <c r="I1336" s="363"/>
      <c r="J1336" s="364"/>
      <c r="K1336" s="363"/>
      <c r="L1336" s="363"/>
      <c r="M1336" s="737"/>
      <c r="N1336" s="332"/>
      <c r="O1336" s="332"/>
      <c r="P1336" s="332"/>
      <c r="Q1336" s="332"/>
      <c r="R1336" s="332"/>
      <c r="S1336" s="332"/>
      <c r="T1336" s="332"/>
    </row>
    <row r="1337" spans="1:20" x14ac:dyDescent="0.6">
      <c r="A1337" s="334"/>
      <c r="B1337" s="610"/>
      <c r="C1337" s="365"/>
      <c r="D1337" s="364"/>
      <c r="E1337" s="363"/>
      <c r="F1337" s="363"/>
      <c r="G1337" s="364"/>
      <c r="H1337" s="363"/>
      <c r="I1337" s="363"/>
      <c r="J1337" s="364"/>
      <c r="K1337" s="363"/>
      <c r="L1337" s="363"/>
      <c r="M1337" s="737"/>
      <c r="N1337" s="332"/>
      <c r="O1337" s="332"/>
      <c r="P1337" s="332"/>
      <c r="Q1337" s="332"/>
      <c r="R1337" s="332"/>
      <c r="S1337" s="332"/>
      <c r="T1337" s="332"/>
    </row>
    <row r="1338" spans="1:20" x14ac:dyDescent="0.6">
      <c r="A1338" s="334"/>
      <c r="B1338" s="610"/>
      <c r="C1338" s="365"/>
      <c r="D1338" s="364"/>
      <c r="E1338" s="363"/>
      <c r="F1338" s="363"/>
      <c r="G1338" s="364"/>
      <c r="H1338" s="363"/>
      <c r="I1338" s="363"/>
      <c r="J1338" s="364"/>
      <c r="K1338" s="363"/>
      <c r="L1338" s="363"/>
      <c r="M1338" s="737"/>
      <c r="N1338" s="332"/>
      <c r="O1338" s="332"/>
      <c r="P1338" s="332"/>
      <c r="Q1338" s="332"/>
      <c r="R1338" s="332"/>
      <c r="S1338" s="332"/>
      <c r="T1338" s="332"/>
    </row>
    <row r="1339" spans="1:20" x14ac:dyDescent="0.6">
      <c r="A1339" s="334"/>
      <c r="B1339" s="610"/>
      <c r="C1339" s="365"/>
      <c r="D1339" s="364"/>
      <c r="E1339" s="363"/>
      <c r="F1339" s="363"/>
      <c r="G1339" s="364"/>
      <c r="H1339" s="363"/>
      <c r="I1339" s="363"/>
      <c r="J1339" s="364"/>
      <c r="K1339" s="363"/>
      <c r="L1339" s="363"/>
      <c r="M1339" s="737"/>
      <c r="N1339" s="332"/>
      <c r="O1339" s="332"/>
      <c r="P1339" s="332"/>
      <c r="Q1339" s="332"/>
      <c r="R1339" s="332"/>
      <c r="S1339" s="332"/>
      <c r="T1339" s="332"/>
    </row>
    <row r="1340" spans="1:20" x14ac:dyDescent="0.6">
      <c r="A1340" s="334"/>
      <c r="B1340" s="610"/>
      <c r="C1340" s="365"/>
      <c r="D1340" s="364"/>
      <c r="E1340" s="363"/>
      <c r="F1340" s="363"/>
      <c r="G1340" s="364"/>
      <c r="H1340" s="363"/>
      <c r="I1340" s="363"/>
      <c r="J1340" s="364"/>
      <c r="K1340" s="363"/>
      <c r="L1340" s="363"/>
      <c r="M1340" s="737"/>
      <c r="N1340" s="332"/>
      <c r="O1340" s="332"/>
      <c r="P1340" s="332"/>
      <c r="Q1340" s="332"/>
      <c r="R1340" s="332"/>
      <c r="S1340" s="332"/>
      <c r="T1340" s="332"/>
    </row>
    <row r="1341" spans="1:20" x14ac:dyDescent="0.6">
      <c r="A1341" s="334"/>
      <c r="B1341" s="610"/>
      <c r="C1341" s="365"/>
      <c r="D1341" s="364"/>
      <c r="E1341" s="363"/>
      <c r="F1341" s="363"/>
      <c r="G1341" s="364"/>
      <c r="H1341" s="363"/>
      <c r="I1341" s="363"/>
      <c r="J1341" s="364"/>
      <c r="K1341" s="363"/>
      <c r="L1341" s="363"/>
      <c r="M1341" s="737"/>
      <c r="N1341" s="332"/>
      <c r="O1341" s="332"/>
      <c r="P1341" s="332"/>
      <c r="Q1341" s="332"/>
      <c r="R1341" s="332"/>
      <c r="S1341" s="332"/>
      <c r="T1341" s="332"/>
    </row>
    <row r="1342" spans="1:20" x14ac:dyDescent="0.6">
      <c r="A1342" s="334"/>
      <c r="B1342" s="610"/>
      <c r="C1342" s="365"/>
      <c r="D1342" s="364"/>
      <c r="E1342" s="363"/>
      <c r="F1342" s="363"/>
      <c r="G1342" s="364"/>
      <c r="H1342" s="363"/>
      <c r="I1342" s="363"/>
      <c r="J1342" s="364"/>
      <c r="K1342" s="363"/>
      <c r="L1342" s="363"/>
      <c r="M1342" s="737"/>
      <c r="N1342" s="332"/>
      <c r="O1342" s="332"/>
      <c r="P1342" s="332"/>
      <c r="Q1342" s="332"/>
      <c r="R1342" s="332"/>
      <c r="S1342" s="332"/>
      <c r="T1342" s="332"/>
    </row>
    <row r="1343" spans="1:20" x14ac:dyDescent="0.6">
      <c r="A1343" s="334"/>
      <c r="B1343" s="610"/>
      <c r="C1343" s="365"/>
      <c r="D1343" s="364"/>
      <c r="E1343" s="363"/>
      <c r="F1343" s="363"/>
      <c r="G1343" s="364"/>
      <c r="H1343" s="363"/>
      <c r="I1343" s="363"/>
      <c r="J1343" s="364"/>
      <c r="K1343" s="363"/>
      <c r="L1343" s="363"/>
      <c r="M1343" s="737"/>
      <c r="N1343" s="332"/>
      <c r="O1343" s="332"/>
      <c r="P1343" s="332"/>
      <c r="Q1343" s="332"/>
      <c r="R1343" s="332"/>
      <c r="S1343" s="332"/>
      <c r="T1343" s="332"/>
    </row>
    <row r="1344" spans="1:20" x14ac:dyDescent="0.6">
      <c r="A1344" s="334"/>
      <c r="B1344" s="610"/>
      <c r="C1344" s="365"/>
      <c r="D1344" s="364"/>
      <c r="E1344" s="363"/>
      <c r="F1344" s="363"/>
      <c r="G1344" s="364"/>
      <c r="H1344" s="363"/>
      <c r="I1344" s="363"/>
      <c r="J1344" s="364"/>
      <c r="K1344" s="363"/>
      <c r="L1344" s="363"/>
      <c r="M1344" s="737"/>
      <c r="N1344" s="332"/>
      <c r="O1344" s="332"/>
      <c r="P1344" s="332"/>
      <c r="Q1344" s="332"/>
      <c r="R1344" s="332"/>
      <c r="S1344" s="332"/>
      <c r="T1344" s="332"/>
    </row>
    <row r="1345" spans="1:20" x14ac:dyDescent="0.6">
      <c r="A1345" s="334"/>
      <c r="B1345" s="610"/>
      <c r="C1345" s="365"/>
      <c r="D1345" s="364"/>
      <c r="E1345" s="363"/>
      <c r="F1345" s="363"/>
      <c r="G1345" s="364"/>
      <c r="H1345" s="363"/>
      <c r="I1345" s="363"/>
      <c r="J1345" s="364"/>
      <c r="K1345" s="363"/>
      <c r="L1345" s="363"/>
      <c r="M1345" s="737"/>
      <c r="N1345" s="332"/>
      <c r="O1345" s="332"/>
      <c r="P1345" s="332"/>
      <c r="Q1345" s="332"/>
      <c r="R1345" s="332"/>
      <c r="S1345" s="332"/>
      <c r="T1345" s="332"/>
    </row>
    <row r="1346" spans="1:20" x14ac:dyDescent="0.6">
      <c r="A1346" s="334"/>
      <c r="B1346" s="610"/>
      <c r="C1346" s="365"/>
      <c r="D1346" s="364"/>
      <c r="E1346" s="363"/>
      <c r="F1346" s="363"/>
      <c r="G1346" s="364"/>
      <c r="H1346" s="363"/>
      <c r="I1346" s="363"/>
      <c r="J1346" s="364"/>
      <c r="K1346" s="363"/>
      <c r="L1346" s="363"/>
      <c r="M1346" s="737"/>
      <c r="N1346" s="332"/>
      <c r="O1346" s="332"/>
      <c r="P1346" s="332"/>
      <c r="Q1346" s="332"/>
      <c r="R1346" s="332"/>
      <c r="S1346" s="332"/>
      <c r="T1346" s="332"/>
    </row>
    <row r="1347" spans="1:20" x14ac:dyDescent="0.6">
      <c r="A1347" s="334"/>
      <c r="B1347" s="610"/>
      <c r="C1347" s="365"/>
      <c r="D1347" s="364"/>
      <c r="E1347" s="363"/>
      <c r="F1347" s="363"/>
      <c r="G1347" s="364"/>
      <c r="H1347" s="363"/>
      <c r="I1347" s="363"/>
      <c r="J1347" s="364"/>
      <c r="K1347" s="363"/>
      <c r="L1347" s="363"/>
      <c r="M1347" s="737"/>
      <c r="N1347" s="332"/>
      <c r="O1347" s="332"/>
      <c r="P1347" s="332"/>
      <c r="Q1347" s="332"/>
      <c r="R1347" s="332"/>
      <c r="S1347" s="332"/>
      <c r="T1347" s="332"/>
    </row>
    <row r="1348" spans="1:20" x14ac:dyDescent="0.6">
      <c r="A1348" s="334"/>
      <c r="B1348" s="610"/>
      <c r="C1348" s="365"/>
      <c r="D1348" s="364"/>
      <c r="E1348" s="363"/>
      <c r="F1348" s="363"/>
      <c r="G1348" s="364"/>
      <c r="H1348" s="363"/>
      <c r="I1348" s="363"/>
      <c r="J1348" s="364"/>
      <c r="K1348" s="363"/>
      <c r="L1348" s="363"/>
      <c r="M1348" s="737"/>
      <c r="N1348" s="332"/>
      <c r="O1348" s="332"/>
      <c r="P1348" s="332"/>
      <c r="Q1348" s="332"/>
      <c r="R1348" s="332"/>
      <c r="S1348" s="332"/>
      <c r="T1348" s="332"/>
    </row>
    <row r="1349" spans="1:20" x14ac:dyDescent="0.6">
      <c r="A1349" s="334"/>
      <c r="B1349" s="610"/>
      <c r="C1349" s="365"/>
      <c r="D1349" s="364"/>
      <c r="E1349" s="363"/>
      <c r="F1349" s="363"/>
      <c r="G1349" s="364"/>
      <c r="H1349" s="363"/>
      <c r="I1349" s="363"/>
      <c r="J1349" s="364"/>
      <c r="K1349" s="363"/>
      <c r="L1349" s="363"/>
      <c r="M1349" s="737"/>
      <c r="N1349" s="332"/>
      <c r="O1349" s="332"/>
      <c r="P1349" s="332"/>
      <c r="Q1349" s="332"/>
      <c r="R1349" s="332"/>
      <c r="S1349" s="332"/>
      <c r="T1349" s="332"/>
    </row>
    <row r="1350" spans="1:20" x14ac:dyDescent="0.6">
      <c r="A1350" s="334"/>
      <c r="B1350" s="610"/>
      <c r="C1350" s="365"/>
      <c r="D1350" s="364"/>
      <c r="E1350" s="363"/>
      <c r="F1350" s="363"/>
      <c r="G1350" s="364"/>
      <c r="H1350" s="363"/>
      <c r="I1350" s="363"/>
      <c r="J1350" s="364"/>
      <c r="K1350" s="363"/>
      <c r="L1350" s="363"/>
      <c r="M1350" s="737"/>
      <c r="N1350" s="332"/>
      <c r="O1350" s="332"/>
      <c r="P1350" s="332"/>
      <c r="Q1350" s="332"/>
      <c r="R1350" s="332"/>
      <c r="S1350" s="332"/>
      <c r="T1350" s="332"/>
    </row>
    <row r="1351" spans="1:20" x14ac:dyDescent="0.6">
      <c r="A1351" s="334"/>
      <c r="B1351" s="610"/>
      <c r="C1351" s="365"/>
      <c r="D1351" s="364"/>
      <c r="E1351" s="363"/>
      <c r="F1351" s="363"/>
      <c r="G1351" s="364"/>
      <c r="H1351" s="363"/>
      <c r="I1351" s="363"/>
      <c r="J1351" s="364"/>
      <c r="K1351" s="363"/>
      <c r="L1351" s="363"/>
      <c r="M1351" s="737"/>
      <c r="N1351" s="332"/>
      <c r="O1351" s="332"/>
      <c r="P1351" s="332"/>
      <c r="Q1351" s="332"/>
      <c r="R1351" s="332"/>
      <c r="S1351" s="332"/>
      <c r="T1351" s="332"/>
    </row>
    <row r="1352" spans="1:20" x14ac:dyDescent="0.6">
      <c r="A1352" s="334"/>
      <c r="B1352" s="610"/>
      <c r="C1352" s="365"/>
      <c r="D1352" s="364"/>
      <c r="E1352" s="363"/>
      <c r="F1352" s="363"/>
      <c r="G1352" s="364"/>
      <c r="H1352" s="363"/>
      <c r="I1352" s="363"/>
      <c r="J1352" s="364"/>
      <c r="K1352" s="363"/>
      <c r="L1352" s="363"/>
      <c r="M1352" s="737"/>
      <c r="N1352" s="332"/>
      <c r="O1352" s="332"/>
      <c r="P1352" s="332"/>
      <c r="Q1352" s="332"/>
      <c r="R1352" s="332"/>
      <c r="S1352" s="332"/>
      <c r="T1352" s="332"/>
    </row>
    <row r="1353" spans="1:20" x14ac:dyDescent="0.6">
      <c r="A1353" s="334"/>
      <c r="B1353" s="610"/>
      <c r="C1353" s="365"/>
      <c r="D1353" s="364"/>
      <c r="E1353" s="363"/>
      <c r="F1353" s="363"/>
      <c r="G1353" s="364"/>
      <c r="H1353" s="363"/>
      <c r="I1353" s="363"/>
      <c r="J1353" s="364"/>
      <c r="K1353" s="363"/>
      <c r="L1353" s="363"/>
      <c r="M1353" s="737"/>
      <c r="N1353" s="332"/>
      <c r="O1353" s="332"/>
      <c r="P1353" s="332"/>
      <c r="Q1353" s="332"/>
      <c r="R1353" s="332"/>
      <c r="S1353" s="332"/>
      <c r="T1353" s="332"/>
    </row>
    <row r="1354" spans="1:20" x14ac:dyDescent="0.6">
      <c r="A1354" s="334"/>
      <c r="B1354" s="610"/>
      <c r="C1354" s="365"/>
      <c r="D1354" s="364"/>
      <c r="E1354" s="363"/>
      <c r="F1354" s="363"/>
      <c r="G1354" s="364"/>
      <c r="H1354" s="363"/>
      <c r="I1354" s="363"/>
      <c r="J1354" s="364"/>
      <c r="K1354" s="363"/>
      <c r="L1354" s="363"/>
      <c r="M1354" s="737"/>
      <c r="N1354" s="332"/>
      <c r="O1354" s="332"/>
      <c r="P1354" s="332"/>
      <c r="Q1354" s="332"/>
      <c r="R1354" s="332"/>
      <c r="S1354" s="332"/>
      <c r="T1354" s="332"/>
    </row>
    <row r="1355" spans="1:20" x14ac:dyDescent="0.6">
      <c r="A1355" s="334"/>
      <c r="B1355" s="610"/>
      <c r="C1355" s="365"/>
      <c r="D1355" s="364"/>
      <c r="E1355" s="363"/>
      <c r="F1355" s="363"/>
      <c r="G1355" s="364"/>
      <c r="H1355" s="363"/>
      <c r="I1355" s="363"/>
      <c r="J1355" s="364"/>
      <c r="K1355" s="363"/>
      <c r="L1355" s="363"/>
      <c r="M1355" s="737"/>
      <c r="N1355" s="332"/>
      <c r="O1355" s="332"/>
      <c r="P1355" s="332"/>
      <c r="Q1355" s="332"/>
      <c r="R1355" s="332"/>
      <c r="S1355" s="332"/>
      <c r="T1355" s="332"/>
    </row>
    <row r="1356" spans="1:20" x14ac:dyDescent="0.6">
      <c r="A1356" s="334"/>
      <c r="B1356" s="610"/>
      <c r="C1356" s="365"/>
      <c r="D1356" s="364"/>
      <c r="E1356" s="363"/>
      <c r="F1356" s="363"/>
      <c r="G1356" s="364"/>
      <c r="H1356" s="363"/>
      <c r="I1356" s="363"/>
      <c r="J1356" s="364"/>
      <c r="K1356" s="363"/>
      <c r="L1356" s="363"/>
      <c r="M1356" s="737"/>
      <c r="N1356" s="332"/>
      <c r="O1356" s="332"/>
      <c r="P1356" s="332"/>
      <c r="Q1356" s="332"/>
      <c r="R1356" s="332"/>
      <c r="S1356" s="332"/>
      <c r="T1356" s="332"/>
    </row>
    <row r="1357" spans="1:20" x14ac:dyDescent="0.6">
      <c r="A1357" s="334"/>
      <c r="B1357" s="610"/>
      <c r="C1357" s="365"/>
      <c r="D1357" s="364"/>
      <c r="E1357" s="363"/>
      <c r="F1357" s="363"/>
      <c r="G1357" s="364"/>
      <c r="H1357" s="363"/>
      <c r="I1357" s="363"/>
      <c r="J1357" s="364"/>
      <c r="K1357" s="363"/>
      <c r="L1357" s="363"/>
      <c r="M1357" s="737"/>
      <c r="N1357" s="332"/>
      <c r="O1357" s="332"/>
      <c r="P1357" s="332"/>
      <c r="Q1357" s="332"/>
      <c r="R1357" s="332"/>
      <c r="S1357" s="332"/>
      <c r="T1357" s="332"/>
    </row>
    <row r="1358" spans="1:20" x14ac:dyDescent="0.6">
      <c r="A1358" s="334"/>
      <c r="B1358" s="610"/>
      <c r="C1358" s="365"/>
      <c r="D1358" s="364"/>
      <c r="E1358" s="363"/>
      <c r="F1358" s="363"/>
      <c r="G1358" s="364"/>
      <c r="H1358" s="363"/>
      <c r="I1358" s="363"/>
      <c r="J1358" s="364"/>
      <c r="K1358" s="363"/>
      <c r="L1358" s="363"/>
      <c r="M1358" s="737"/>
      <c r="N1358" s="332"/>
      <c r="O1358" s="332"/>
      <c r="P1358" s="332"/>
      <c r="Q1358" s="332"/>
      <c r="R1358" s="332"/>
      <c r="S1358" s="332"/>
      <c r="T1358" s="332"/>
    </row>
    <row r="1359" spans="1:20" x14ac:dyDescent="0.6">
      <c r="A1359" s="334"/>
      <c r="B1359" s="610"/>
      <c r="C1359" s="365"/>
      <c r="D1359" s="364"/>
      <c r="E1359" s="363"/>
      <c r="F1359" s="363"/>
      <c r="G1359" s="364"/>
      <c r="H1359" s="363"/>
      <c r="I1359" s="363"/>
      <c r="J1359" s="364"/>
      <c r="K1359" s="363"/>
      <c r="L1359" s="363"/>
      <c r="M1359" s="737"/>
      <c r="N1359" s="332"/>
      <c r="O1359" s="332"/>
      <c r="P1359" s="332"/>
      <c r="Q1359" s="332"/>
      <c r="R1359" s="332"/>
      <c r="S1359" s="332"/>
      <c r="T1359" s="332"/>
    </row>
    <row r="1360" spans="1:20" x14ac:dyDescent="0.6">
      <c r="A1360" s="334"/>
      <c r="B1360" s="610"/>
      <c r="C1360" s="365"/>
      <c r="D1360" s="364"/>
      <c r="E1360" s="363"/>
      <c r="F1360" s="363"/>
      <c r="G1360" s="364"/>
      <c r="H1360" s="363"/>
      <c r="I1360" s="363"/>
      <c r="J1360" s="364"/>
      <c r="K1360" s="363"/>
      <c r="L1360" s="363"/>
      <c r="M1360" s="737"/>
      <c r="N1360" s="332"/>
      <c r="O1360" s="332"/>
      <c r="P1360" s="332"/>
      <c r="Q1360" s="332"/>
      <c r="R1360" s="332"/>
      <c r="S1360" s="332"/>
      <c r="T1360" s="332"/>
    </row>
    <row r="1361" spans="1:20" x14ac:dyDescent="0.6">
      <c r="A1361" s="334"/>
      <c r="B1361" s="610"/>
      <c r="C1361" s="365"/>
      <c r="D1361" s="364"/>
      <c r="E1361" s="363"/>
      <c r="F1361" s="363"/>
      <c r="G1361" s="364"/>
      <c r="H1361" s="363"/>
      <c r="I1361" s="363"/>
      <c r="J1361" s="364"/>
      <c r="K1361" s="363"/>
      <c r="L1361" s="363"/>
      <c r="M1361" s="737"/>
      <c r="N1361" s="332"/>
      <c r="O1361" s="332"/>
      <c r="P1361" s="332"/>
      <c r="Q1361" s="332"/>
      <c r="R1361" s="332"/>
      <c r="S1361" s="332"/>
      <c r="T1361" s="332"/>
    </row>
    <row r="1362" spans="1:20" x14ac:dyDescent="0.6">
      <c r="A1362" s="334"/>
      <c r="B1362" s="610"/>
      <c r="C1362" s="365"/>
      <c r="D1362" s="364"/>
      <c r="E1362" s="363"/>
      <c r="F1362" s="363"/>
      <c r="G1362" s="364"/>
      <c r="H1362" s="363"/>
      <c r="I1362" s="363"/>
      <c r="J1362" s="364"/>
      <c r="K1362" s="363"/>
      <c r="L1362" s="363"/>
      <c r="M1362" s="737"/>
      <c r="N1362" s="332"/>
      <c r="O1362" s="332"/>
      <c r="P1362" s="332"/>
      <c r="Q1362" s="332"/>
      <c r="R1362" s="332"/>
      <c r="S1362" s="332"/>
      <c r="T1362" s="332"/>
    </row>
    <row r="1363" spans="1:20" x14ac:dyDescent="0.6">
      <c r="A1363" s="334"/>
      <c r="B1363" s="610"/>
      <c r="C1363" s="365"/>
      <c r="D1363" s="364"/>
      <c r="E1363" s="363"/>
      <c r="F1363" s="363"/>
      <c r="G1363" s="364"/>
      <c r="H1363" s="363"/>
      <c r="I1363" s="363"/>
      <c r="J1363" s="364"/>
      <c r="K1363" s="363"/>
      <c r="L1363" s="363"/>
      <c r="M1363" s="737"/>
      <c r="N1363" s="332"/>
      <c r="O1363" s="332"/>
      <c r="P1363" s="332"/>
      <c r="Q1363" s="332"/>
      <c r="R1363" s="332"/>
      <c r="S1363" s="332"/>
      <c r="T1363" s="332"/>
    </row>
    <row r="1364" spans="1:20" x14ac:dyDescent="0.6">
      <c r="A1364" s="334"/>
      <c r="B1364" s="610"/>
      <c r="C1364" s="365"/>
      <c r="D1364" s="364"/>
      <c r="E1364" s="363"/>
      <c r="F1364" s="363"/>
      <c r="G1364" s="364"/>
      <c r="H1364" s="363"/>
      <c r="I1364" s="363"/>
      <c r="J1364" s="364"/>
      <c r="K1364" s="363"/>
      <c r="L1364" s="363"/>
      <c r="M1364" s="737"/>
      <c r="N1364" s="332"/>
      <c r="O1364" s="332"/>
      <c r="P1364" s="332"/>
      <c r="Q1364" s="332"/>
      <c r="R1364" s="332"/>
      <c r="S1364" s="332"/>
      <c r="T1364" s="332"/>
    </row>
    <row r="1365" spans="1:20" x14ac:dyDescent="0.6">
      <c r="A1365" s="334"/>
      <c r="B1365" s="610"/>
      <c r="C1365" s="365"/>
      <c r="D1365" s="364"/>
      <c r="E1365" s="363"/>
      <c r="F1365" s="363"/>
      <c r="G1365" s="364"/>
      <c r="H1365" s="363"/>
      <c r="I1365" s="363"/>
      <c r="J1365" s="364"/>
      <c r="K1365" s="363"/>
      <c r="L1365" s="363"/>
      <c r="M1365" s="737"/>
      <c r="N1365" s="332"/>
      <c r="O1365" s="332"/>
      <c r="P1365" s="332"/>
      <c r="Q1365" s="332"/>
      <c r="R1365" s="332"/>
      <c r="S1365" s="332"/>
      <c r="T1365" s="332"/>
    </row>
    <row r="1366" spans="1:20" x14ac:dyDescent="0.6">
      <c r="A1366" s="334"/>
      <c r="B1366" s="610"/>
      <c r="C1366" s="365"/>
      <c r="D1366" s="364"/>
      <c r="E1366" s="363"/>
      <c r="F1366" s="363"/>
      <c r="G1366" s="364"/>
      <c r="H1366" s="363"/>
      <c r="I1366" s="363"/>
      <c r="J1366" s="364"/>
      <c r="K1366" s="363"/>
      <c r="L1366" s="363"/>
      <c r="M1366" s="737"/>
      <c r="N1366" s="332"/>
      <c r="O1366" s="332"/>
      <c r="P1366" s="332"/>
      <c r="Q1366" s="332"/>
      <c r="R1366" s="332"/>
      <c r="S1366" s="332"/>
      <c r="T1366" s="332"/>
    </row>
    <row r="1367" spans="1:20" x14ac:dyDescent="0.6">
      <c r="A1367" s="334"/>
      <c r="B1367" s="610"/>
      <c r="C1367" s="365"/>
      <c r="D1367" s="364"/>
      <c r="E1367" s="363"/>
      <c r="F1367" s="363"/>
      <c r="G1367" s="364"/>
      <c r="H1367" s="363"/>
      <c r="I1367" s="363"/>
      <c r="J1367" s="364"/>
      <c r="K1367" s="363"/>
      <c r="L1367" s="363"/>
      <c r="M1367" s="737"/>
      <c r="N1367" s="332"/>
      <c r="O1367" s="332"/>
      <c r="P1367" s="332"/>
      <c r="Q1367" s="332"/>
      <c r="R1367" s="332"/>
      <c r="S1367" s="332"/>
      <c r="T1367" s="332"/>
    </row>
    <row r="1368" spans="1:20" x14ac:dyDescent="0.6">
      <c r="A1368" s="334"/>
      <c r="B1368" s="610"/>
      <c r="C1368" s="365"/>
      <c r="D1368" s="364"/>
      <c r="E1368" s="363"/>
      <c r="F1368" s="363"/>
      <c r="G1368" s="364"/>
      <c r="H1368" s="363"/>
      <c r="I1368" s="363"/>
      <c r="J1368" s="364"/>
      <c r="K1368" s="363"/>
      <c r="L1368" s="363"/>
      <c r="M1368" s="737"/>
      <c r="N1368" s="332"/>
      <c r="O1368" s="332"/>
      <c r="P1368" s="332"/>
      <c r="Q1368" s="332"/>
      <c r="R1368" s="332"/>
      <c r="S1368" s="332"/>
      <c r="T1368" s="332"/>
    </row>
    <row r="1369" spans="1:20" x14ac:dyDescent="0.6">
      <c r="A1369" s="334"/>
      <c r="B1369" s="610"/>
      <c r="C1369" s="365"/>
      <c r="D1369" s="364"/>
      <c r="E1369" s="363"/>
      <c r="F1369" s="363"/>
      <c r="G1369" s="364"/>
      <c r="H1369" s="363"/>
      <c r="I1369" s="363"/>
      <c r="J1369" s="364"/>
      <c r="K1369" s="363"/>
      <c r="L1369" s="363"/>
      <c r="M1369" s="737"/>
      <c r="N1369" s="332"/>
      <c r="O1369" s="332"/>
      <c r="P1369" s="332"/>
      <c r="Q1369" s="332"/>
      <c r="R1369" s="332"/>
      <c r="S1369" s="332"/>
      <c r="T1369" s="332"/>
    </row>
    <row r="1370" spans="1:20" x14ac:dyDescent="0.6">
      <c r="A1370" s="334"/>
      <c r="B1370" s="610"/>
      <c r="C1370" s="365"/>
      <c r="D1370" s="364"/>
      <c r="E1370" s="363"/>
      <c r="F1370" s="363"/>
      <c r="G1370" s="364"/>
      <c r="H1370" s="363"/>
      <c r="I1370" s="363"/>
      <c r="J1370" s="364"/>
      <c r="K1370" s="363"/>
      <c r="L1370" s="363"/>
      <c r="M1370" s="737"/>
      <c r="N1370" s="332"/>
      <c r="O1370" s="332"/>
      <c r="P1370" s="332"/>
      <c r="Q1370" s="332"/>
      <c r="R1370" s="332"/>
      <c r="S1370" s="332"/>
      <c r="T1370" s="332"/>
    </row>
    <row r="1371" spans="1:20" x14ac:dyDescent="0.6">
      <c r="A1371" s="334"/>
      <c r="B1371" s="610"/>
      <c r="C1371" s="365"/>
      <c r="D1371" s="364"/>
      <c r="E1371" s="363"/>
      <c r="F1371" s="363"/>
      <c r="G1371" s="364"/>
      <c r="H1371" s="363"/>
      <c r="I1371" s="363"/>
      <c r="J1371" s="364"/>
      <c r="K1371" s="363"/>
      <c r="L1371" s="363"/>
      <c r="M1371" s="737"/>
      <c r="N1371" s="332"/>
      <c r="O1371" s="332"/>
      <c r="P1371" s="332"/>
      <c r="Q1371" s="332"/>
      <c r="R1371" s="332"/>
      <c r="S1371" s="332"/>
      <c r="T1371" s="332"/>
    </row>
    <row r="1372" spans="1:20" x14ac:dyDescent="0.6">
      <c r="A1372" s="334"/>
      <c r="B1372" s="610"/>
      <c r="C1372" s="365"/>
      <c r="D1372" s="364"/>
      <c r="E1372" s="363"/>
      <c r="F1372" s="363"/>
      <c r="G1372" s="364"/>
      <c r="H1372" s="363"/>
      <c r="I1372" s="363"/>
      <c r="J1372" s="364"/>
      <c r="K1372" s="363"/>
      <c r="L1372" s="363"/>
      <c r="M1372" s="737"/>
      <c r="N1372" s="332"/>
      <c r="O1372" s="332"/>
      <c r="P1372" s="332"/>
      <c r="Q1372" s="332"/>
      <c r="R1372" s="332"/>
      <c r="S1372" s="332"/>
      <c r="T1372" s="332"/>
    </row>
    <row r="1373" spans="1:20" x14ac:dyDescent="0.6">
      <c r="A1373" s="334"/>
      <c r="B1373" s="610"/>
      <c r="C1373" s="365"/>
      <c r="D1373" s="364"/>
      <c r="E1373" s="363"/>
      <c r="F1373" s="363"/>
      <c r="G1373" s="364"/>
      <c r="H1373" s="363"/>
      <c r="I1373" s="363"/>
      <c r="J1373" s="364"/>
      <c r="K1373" s="363"/>
      <c r="L1373" s="363"/>
      <c r="M1373" s="737"/>
      <c r="N1373" s="332"/>
      <c r="O1373" s="332"/>
      <c r="P1373" s="332"/>
      <c r="Q1373" s="332"/>
      <c r="R1373" s="332"/>
      <c r="S1373" s="332"/>
      <c r="T1373" s="332"/>
    </row>
    <row r="1374" spans="1:20" x14ac:dyDescent="0.6">
      <c r="A1374" s="334"/>
      <c r="B1374" s="610"/>
      <c r="C1374" s="365"/>
      <c r="D1374" s="364"/>
      <c r="E1374" s="363"/>
      <c r="F1374" s="363"/>
      <c r="G1374" s="364"/>
      <c r="H1374" s="363"/>
      <c r="I1374" s="363"/>
      <c r="J1374" s="364"/>
      <c r="K1374" s="363"/>
      <c r="L1374" s="363"/>
      <c r="M1374" s="737"/>
      <c r="N1374" s="332"/>
      <c r="O1374" s="332"/>
      <c r="P1374" s="332"/>
      <c r="Q1374" s="332"/>
      <c r="R1374" s="332"/>
      <c r="S1374" s="332"/>
      <c r="T1374" s="332"/>
    </row>
    <row r="1375" spans="1:20" x14ac:dyDescent="0.6">
      <c r="A1375" s="334"/>
      <c r="B1375" s="610"/>
      <c r="C1375" s="365"/>
      <c r="D1375" s="364"/>
      <c r="E1375" s="363"/>
      <c r="F1375" s="363"/>
      <c r="G1375" s="364"/>
      <c r="H1375" s="363"/>
      <c r="I1375" s="363"/>
      <c r="J1375" s="364"/>
      <c r="K1375" s="363"/>
      <c r="L1375" s="363"/>
      <c r="M1375" s="737"/>
      <c r="N1375" s="332"/>
      <c r="O1375" s="332"/>
      <c r="P1375" s="332"/>
      <c r="Q1375" s="332"/>
      <c r="R1375" s="332"/>
      <c r="S1375" s="332"/>
      <c r="T1375" s="332"/>
    </row>
    <row r="1376" spans="1:20" x14ac:dyDescent="0.6">
      <c r="A1376" s="334"/>
      <c r="B1376" s="610"/>
      <c r="C1376" s="365"/>
      <c r="D1376" s="364"/>
      <c r="E1376" s="363"/>
      <c r="F1376" s="363"/>
      <c r="G1376" s="364"/>
      <c r="H1376" s="363"/>
      <c r="I1376" s="363"/>
      <c r="J1376" s="364"/>
      <c r="K1376" s="363"/>
      <c r="L1376" s="363"/>
      <c r="M1376" s="737"/>
      <c r="N1376" s="332"/>
      <c r="O1376" s="332"/>
      <c r="P1376" s="332"/>
      <c r="Q1376" s="332"/>
      <c r="R1376" s="332"/>
      <c r="S1376" s="332"/>
      <c r="T1376" s="332"/>
    </row>
    <row r="1377" spans="1:20" x14ac:dyDescent="0.6">
      <c r="A1377" s="334"/>
      <c r="B1377" s="610"/>
      <c r="C1377" s="365"/>
      <c r="D1377" s="364"/>
      <c r="E1377" s="363"/>
      <c r="F1377" s="363"/>
      <c r="G1377" s="364"/>
      <c r="H1377" s="363"/>
      <c r="I1377" s="363"/>
      <c r="J1377" s="364"/>
      <c r="K1377" s="363"/>
      <c r="L1377" s="363"/>
      <c r="M1377" s="737"/>
      <c r="N1377" s="332"/>
      <c r="O1377" s="332"/>
      <c r="P1377" s="332"/>
      <c r="Q1377" s="332"/>
      <c r="R1377" s="332"/>
      <c r="S1377" s="332"/>
      <c r="T1377" s="332"/>
    </row>
    <row r="1378" spans="1:20" x14ac:dyDescent="0.6">
      <c r="A1378" s="334"/>
      <c r="B1378" s="610"/>
      <c r="C1378" s="365"/>
      <c r="D1378" s="364"/>
      <c r="E1378" s="363"/>
      <c r="F1378" s="363"/>
      <c r="G1378" s="364"/>
      <c r="H1378" s="363"/>
      <c r="I1378" s="363"/>
      <c r="J1378" s="364"/>
      <c r="K1378" s="363"/>
      <c r="L1378" s="363"/>
      <c r="M1378" s="737"/>
      <c r="N1378" s="332"/>
      <c r="O1378" s="332"/>
      <c r="P1378" s="332"/>
      <c r="Q1378" s="332"/>
      <c r="R1378" s="332"/>
      <c r="S1378" s="332"/>
      <c r="T1378" s="332"/>
    </row>
    <row r="1379" spans="1:20" x14ac:dyDescent="0.6">
      <c r="A1379" s="334"/>
      <c r="B1379" s="610"/>
      <c r="C1379" s="365"/>
      <c r="D1379" s="364"/>
      <c r="E1379" s="363"/>
      <c r="F1379" s="363"/>
      <c r="G1379" s="364"/>
      <c r="H1379" s="363"/>
      <c r="I1379" s="363"/>
      <c r="J1379" s="364"/>
      <c r="K1379" s="363"/>
      <c r="L1379" s="363"/>
      <c r="M1379" s="737"/>
      <c r="N1379" s="332"/>
      <c r="O1379" s="332"/>
      <c r="P1379" s="332"/>
      <c r="Q1379" s="332"/>
      <c r="R1379" s="332"/>
      <c r="S1379" s="332"/>
      <c r="T1379" s="332"/>
    </row>
    <row r="1380" spans="1:20" x14ac:dyDescent="0.6">
      <c r="A1380" s="334"/>
      <c r="B1380" s="610"/>
      <c r="C1380" s="365"/>
      <c r="D1380" s="364"/>
      <c r="E1380" s="363"/>
      <c r="F1380" s="363"/>
      <c r="G1380" s="364"/>
      <c r="H1380" s="363"/>
      <c r="I1380" s="363"/>
      <c r="J1380" s="364"/>
      <c r="K1380" s="363"/>
      <c r="L1380" s="363"/>
      <c r="M1380" s="737"/>
      <c r="N1380" s="332"/>
      <c r="O1380" s="332"/>
      <c r="P1380" s="332"/>
      <c r="Q1380" s="332"/>
      <c r="R1380" s="332"/>
      <c r="S1380" s="332"/>
      <c r="T1380" s="332"/>
    </row>
    <row r="1381" spans="1:20" x14ac:dyDescent="0.6">
      <c r="A1381" s="334"/>
      <c r="B1381" s="610"/>
      <c r="C1381" s="365"/>
      <c r="D1381" s="364"/>
      <c r="E1381" s="363"/>
      <c r="F1381" s="363"/>
      <c r="G1381" s="364"/>
      <c r="H1381" s="363"/>
      <c r="I1381" s="363"/>
      <c r="J1381" s="364"/>
      <c r="K1381" s="363"/>
      <c r="L1381" s="363"/>
      <c r="M1381" s="737"/>
      <c r="N1381" s="332"/>
      <c r="O1381" s="332"/>
      <c r="P1381" s="332"/>
      <c r="Q1381" s="332"/>
      <c r="R1381" s="332"/>
      <c r="S1381" s="332"/>
      <c r="T1381" s="332"/>
    </row>
    <row r="1382" spans="1:20" x14ac:dyDescent="0.6">
      <c r="A1382" s="334"/>
      <c r="B1382" s="610"/>
      <c r="C1382" s="365"/>
      <c r="D1382" s="364"/>
      <c r="E1382" s="363"/>
      <c r="F1382" s="363"/>
      <c r="G1382" s="364"/>
      <c r="H1382" s="363"/>
      <c r="I1382" s="363"/>
      <c r="J1382" s="364"/>
      <c r="K1382" s="363"/>
      <c r="L1382" s="363"/>
      <c r="M1382" s="737"/>
      <c r="N1382" s="332"/>
      <c r="O1382" s="332"/>
      <c r="P1382" s="332"/>
      <c r="Q1382" s="332"/>
      <c r="R1382" s="332"/>
      <c r="S1382" s="332"/>
      <c r="T1382" s="332"/>
    </row>
    <row r="1383" spans="1:20" x14ac:dyDescent="0.6">
      <c r="A1383" s="334"/>
      <c r="B1383" s="610"/>
      <c r="C1383" s="365"/>
      <c r="D1383" s="364"/>
      <c r="E1383" s="363"/>
      <c r="F1383" s="363"/>
      <c r="G1383" s="364"/>
      <c r="H1383" s="363"/>
      <c r="I1383" s="363"/>
      <c r="J1383" s="364"/>
      <c r="K1383" s="363"/>
      <c r="L1383" s="363"/>
      <c r="M1383" s="737"/>
      <c r="N1383" s="332"/>
      <c r="O1383" s="332"/>
      <c r="P1383" s="332"/>
      <c r="Q1383" s="332"/>
      <c r="R1383" s="332"/>
      <c r="S1383" s="332"/>
      <c r="T1383" s="332"/>
    </row>
    <row r="1384" spans="1:20" x14ac:dyDescent="0.6">
      <c r="A1384" s="334"/>
      <c r="B1384" s="610"/>
      <c r="C1384" s="365"/>
      <c r="D1384" s="364"/>
      <c r="E1384" s="363"/>
      <c r="F1384" s="363"/>
      <c r="G1384" s="364"/>
      <c r="H1384" s="363"/>
      <c r="I1384" s="363"/>
      <c r="J1384" s="364"/>
      <c r="K1384" s="363"/>
      <c r="L1384" s="363"/>
      <c r="M1384" s="737"/>
      <c r="N1384" s="332"/>
      <c r="O1384" s="332"/>
      <c r="P1384" s="332"/>
      <c r="Q1384" s="332"/>
      <c r="R1384" s="332"/>
      <c r="S1384" s="332"/>
      <c r="T1384" s="332"/>
    </row>
    <row r="1385" spans="1:20" x14ac:dyDescent="0.6">
      <c r="A1385" s="334"/>
      <c r="B1385" s="610"/>
      <c r="C1385" s="365"/>
      <c r="D1385" s="364"/>
      <c r="E1385" s="363"/>
      <c r="F1385" s="363"/>
      <c r="G1385" s="364"/>
      <c r="H1385" s="363"/>
      <c r="I1385" s="363"/>
      <c r="J1385" s="364"/>
      <c r="K1385" s="363"/>
      <c r="L1385" s="363"/>
      <c r="M1385" s="737"/>
      <c r="N1385" s="332"/>
      <c r="O1385" s="332"/>
      <c r="P1385" s="332"/>
      <c r="Q1385" s="332"/>
      <c r="R1385" s="332"/>
      <c r="S1385" s="332"/>
      <c r="T1385" s="332"/>
    </row>
    <row r="1386" spans="1:20" x14ac:dyDescent="0.6">
      <c r="A1386" s="334"/>
      <c r="B1386" s="610"/>
      <c r="C1386" s="365"/>
      <c r="D1386" s="364"/>
      <c r="E1386" s="363"/>
      <c r="F1386" s="363"/>
      <c r="G1386" s="364"/>
      <c r="H1386" s="363"/>
      <c r="I1386" s="363"/>
      <c r="J1386" s="364"/>
      <c r="K1386" s="363"/>
      <c r="L1386" s="363"/>
      <c r="M1386" s="737"/>
      <c r="N1386" s="332"/>
      <c r="O1386" s="332"/>
      <c r="P1386" s="332"/>
      <c r="Q1386" s="332"/>
      <c r="R1386" s="332"/>
      <c r="S1386" s="332"/>
      <c r="T1386" s="332"/>
    </row>
    <row r="1387" spans="1:20" x14ac:dyDescent="0.6">
      <c r="A1387" s="334"/>
      <c r="B1387" s="610"/>
      <c r="C1387" s="365"/>
      <c r="D1387" s="364"/>
      <c r="E1387" s="363"/>
      <c r="F1387" s="363"/>
      <c r="G1387" s="364"/>
      <c r="H1387" s="363"/>
      <c r="I1387" s="363"/>
      <c r="J1387" s="364"/>
      <c r="K1387" s="363"/>
      <c r="L1387" s="363"/>
      <c r="M1387" s="737"/>
      <c r="N1387" s="332"/>
      <c r="O1387" s="332"/>
      <c r="P1387" s="332"/>
      <c r="Q1387" s="332"/>
      <c r="R1387" s="332"/>
      <c r="S1387" s="332"/>
      <c r="T1387" s="332"/>
    </row>
    <row r="1388" spans="1:20" x14ac:dyDescent="0.6">
      <c r="A1388" s="334"/>
      <c r="B1388" s="610"/>
      <c r="C1388" s="365"/>
      <c r="D1388" s="364"/>
      <c r="E1388" s="363"/>
      <c r="F1388" s="363"/>
      <c r="G1388" s="364"/>
      <c r="H1388" s="363"/>
      <c r="I1388" s="363"/>
      <c r="J1388" s="364"/>
      <c r="K1388" s="363"/>
      <c r="L1388" s="363"/>
      <c r="M1388" s="737"/>
      <c r="N1388" s="332"/>
      <c r="O1388" s="332"/>
      <c r="P1388" s="332"/>
      <c r="Q1388" s="332"/>
      <c r="R1388" s="332"/>
      <c r="S1388" s="332"/>
      <c r="T1388" s="332"/>
    </row>
    <row r="1389" spans="1:20" x14ac:dyDescent="0.6">
      <c r="A1389" s="334"/>
      <c r="B1389" s="610"/>
      <c r="C1389" s="365"/>
      <c r="D1389" s="364"/>
      <c r="E1389" s="363"/>
      <c r="F1389" s="363"/>
      <c r="G1389" s="364"/>
      <c r="H1389" s="363"/>
      <c r="I1389" s="363"/>
      <c r="J1389" s="364"/>
      <c r="K1389" s="363"/>
      <c r="L1389" s="363"/>
      <c r="M1389" s="737"/>
      <c r="N1389" s="332"/>
      <c r="O1389" s="332"/>
      <c r="P1389" s="332"/>
      <c r="Q1389" s="332"/>
      <c r="R1389" s="332"/>
      <c r="S1389" s="332"/>
      <c r="T1389" s="332"/>
    </row>
    <row r="1390" spans="1:20" x14ac:dyDescent="0.6">
      <c r="A1390" s="334"/>
      <c r="B1390" s="610"/>
      <c r="C1390" s="365"/>
      <c r="D1390" s="364"/>
      <c r="E1390" s="363"/>
      <c r="F1390" s="363"/>
      <c r="G1390" s="364"/>
      <c r="H1390" s="363"/>
      <c r="I1390" s="363"/>
      <c r="J1390" s="364"/>
      <c r="K1390" s="363"/>
      <c r="L1390" s="363"/>
      <c r="M1390" s="737"/>
      <c r="N1390" s="332"/>
      <c r="O1390" s="332"/>
      <c r="P1390" s="332"/>
      <c r="Q1390" s="332"/>
      <c r="R1390" s="332"/>
      <c r="S1390" s="332"/>
      <c r="T1390" s="332"/>
    </row>
    <row r="1391" spans="1:20" x14ac:dyDescent="0.6">
      <c r="A1391" s="334"/>
      <c r="B1391" s="610"/>
      <c r="C1391" s="365"/>
      <c r="D1391" s="364"/>
      <c r="E1391" s="363"/>
      <c r="F1391" s="363"/>
      <c r="G1391" s="364"/>
      <c r="H1391" s="363"/>
      <c r="I1391" s="363"/>
      <c r="J1391" s="364"/>
      <c r="K1391" s="363"/>
      <c r="L1391" s="363"/>
      <c r="M1391" s="737"/>
      <c r="N1391" s="332"/>
      <c r="O1391" s="332"/>
      <c r="P1391" s="332"/>
      <c r="Q1391" s="332"/>
      <c r="R1391" s="332"/>
      <c r="S1391" s="332"/>
      <c r="T1391" s="332"/>
    </row>
    <row r="1392" spans="1:20" x14ac:dyDescent="0.6">
      <c r="A1392" s="334"/>
      <c r="B1392" s="610"/>
      <c r="C1392" s="365"/>
      <c r="D1392" s="364"/>
      <c r="E1392" s="363"/>
      <c r="F1392" s="363"/>
      <c r="G1392" s="364"/>
      <c r="H1392" s="363"/>
      <c r="I1392" s="363"/>
      <c r="J1392" s="364"/>
      <c r="K1392" s="363"/>
      <c r="L1392" s="363"/>
      <c r="M1392" s="737"/>
      <c r="N1392" s="332"/>
      <c r="O1392" s="332"/>
      <c r="P1392" s="332"/>
      <c r="Q1392" s="332"/>
      <c r="R1392" s="332"/>
      <c r="S1392" s="332"/>
      <c r="T1392" s="332"/>
    </row>
    <row r="1393" spans="1:20" x14ac:dyDescent="0.6">
      <c r="A1393" s="334"/>
      <c r="B1393" s="610"/>
      <c r="C1393" s="365"/>
      <c r="D1393" s="364"/>
      <c r="E1393" s="363"/>
      <c r="F1393" s="363"/>
      <c r="G1393" s="364"/>
      <c r="H1393" s="363"/>
      <c r="I1393" s="363"/>
      <c r="J1393" s="364"/>
      <c r="K1393" s="363"/>
      <c r="L1393" s="363"/>
      <c r="M1393" s="737"/>
      <c r="N1393" s="332"/>
      <c r="O1393" s="332"/>
      <c r="P1393" s="332"/>
      <c r="Q1393" s="332"/>
      <c r="R1393" s="332"/>
      <c r="S1393" s="332"/>
      <c r="T1393" s="332"/>
    </row>
    <row r="1394" spans="1:20" x14ac:dyDescent="0.6">
      <c r="A1394" s="334"/>
      <c r="B1394" s="610"/>
      <c r="C1394" s="365"/>
      <c r="D1394" s="364"/>
      <c r="E1394" s="363"/>
      <c r="F1394" s="363"/>
      <c r="G1394" s="364"/>
      <c r="H1394" s="363"/>
      <c r="I1394" s="363"/>
      <c r="J1394" s="364"/>
      <c r="K1394" s="363"/>
      <c r="L1394" s="363"/>
      <c r="M1394" s="737"/>
      <c r="N1394" s="332"/>
      <c r="O1394" s="332"/>
      <c r="P1394" s="332"/>
      <c r="Q1394" s="332"/>
      <c r="R1394" s="332"/>
      <c r="S1394" s="332"/>
      <c r="T1394" s="332"/>
    </row>
    <row r="1395" spans="1:20" x14ac:dyDescent="0.6">
      <c r="A1395" s="334"/>
      <c r="B1395" s="610"/>
      <c r="C1395" s="365"/>
      <c r="D1395" s="364"/>
      <c r="E1395" s="363"/>
      <c r="F1395" s="363"/>
      <c r="G1395" s="364"/>
      <c r="H1395" s="363"/>
      <c r="I1395" s="363"/>
      <c r="J1395" s="364"/>
      <c r="K1395" s="363"/>
      <c r="L1395" s="363"/>
      <c r="M1395" s="737"/>
      <c r="N1395" s="332"/>
      <c r="O1395" s="332"/>
      <c r="P1395" s="332"/>
      <c r="Q1395" s="332"/>
      <c r="R1395" s="332"/>
      <c r="S1395" s="332"/>
      <c r="T1395" s="332"/>
    </row>
    <row r="1396" spans="1:20" x14ac:dyDescent="0.6">
      <c r="A1396" s="334"/>
      <c r="B1396" s="610"/>
      <c r="C1396" s="365"/>
      <c r="D1396" s="364"/>
      <c r="E1396" s="363"/>
      <c r="F1396" s="363"/>
      <c r="G1396" s="364"/>
      <c r="H1396" s="363"/>
      <c r="I1396" s="363"/>
      <c r="J1396" s="364"/>
      <c r="K1396" s="363"/>
      <c r="L1396" s="363"/>
      <c r="M1396" s="737"/>
      <c r="N1396" s="332"/>
      <c r="O1396" s="332"/>
      <c r="P1396" s="332"/>
      <c r="Q1396" s="332"/>
      <c r="R1396" s="332"/>
      <c r="S1396" s="332"/>
      <c r="T1396" s="332"/>
    </row>
    <row r="1397" spans="1:20" x14ac:dyDescent="0.6">
      <c r="A1397" s="334"/>
      <c r="B1397" s="610"/>
      <c r="C1397" s="365"/>
      <c r="D1397" s="364"/>
      <c r="E1397" s="363"/>
      <c r="F1397" s="363"/>
      <c r="G1397" s="364"/>
      <c r="H1397" s="363"/>
      <c r="I1397" s="363"/>
      <c r="J1397" s="364"/>
      <c r="K1397" s="363"/>
      <c r="L1397" s="363"/>
      <c r="M1397" s="737"/>
      <c r="N1397" s="332"/>
      <c r="O1397" s="332"/>
      <c r="P1397" s="332"/>
      <c r="Q1397" s="332"/>
      <c r="R1397" s="332"/>
      <c r="S1397" s="332"/>
      <c r="T1397" s="332"/>
    </row>
    <row r="1398" spans="1:20" x14ac:dyDescent="0.6">
      <c r="A1398" s="334"/>
      <c r="B1398" s="610"/>
      <c r="C1398" s="365"/>
      <c r="D1398" s="364"/>
      <c r="E1398" s="363"/>
      <c r="F1398" s="363"/>
      <c r="G1398" s="364"/>
      <c r="H1398" s="363"/>
      <c r="I1398" s="363"/>
      <c r="J1398" s="364"/>
      <c r="K1398" s="363"/>
      <c r="L1398" s="363"/>
      <c r="M1398" s="737"/>
      <c r="N1398" s="332"/>
      <c r="O1398" s="332"/>
      <c r="P1398" s="332"/>
      <c r="Q1398" s="332"/>
      <c r="R1398" s="332"/>
      <c r="S1398" s="332"/>
      <c r="T1398" s="332"/>
    </row>
    <row r="1399" spans="1:20" x14ac:dyDescent="0.6">
      <c r="A1399" s="334"/>
      <c r="B1399" s="610"/>
      <c r="C1399" s="365"/>
      <c r="D1399" s="364"/>
      <c r="E1399" s="363"/>
      <c r="F1399" s="363"/>
      <c r="G1399" s="364"/>
      <c r="H1399" s="363"/>
      <c r="I1399" s="363"/>
      <c r="J1399" s="364"/>
      <c r="K1399" s="363"/>
      <c r="L1399" s="363"/>
      <c r="M1399" s="737"/>
      <c r="N1399" s="332"/>
      <c r="O1399" s="332"/>
      <c r="P1399" s="332"/>
      <c r="Q1399" s="332"/>
      <c r="R1399" s="332"/>
      <c r="S1399" s="332"/>
      <c r="T1399" s="332"/>
    </row>
    <row r="1400" spans="1:20" x14ac:dyDescent="0.6">
      <c r="A1400" s="334"/>
      <c r="B1400" s="610"/>
      <c r="C1400" s="365"/>
      <c r="D1400" s="364"/>
      <c r="E1400" s="363"/>
      <c r="F1400" s="363"/>
      <c r="G1400" s="364"/>
      <c r="H1400" s="363"/>
      <c r="I1400" s="363"/>
      <c r="J1400" s="364"/>
      <c r="K1400" s="363"/>
      <c r="L1400" s="363"/>
      <c r="M1400" s="737"/>
      <c r="N1400" s="332"/>
      <c r="O1400" s="332"/>
      <c r="P1400" s="332"/>
      <c r="Q1400" s="332"/>
      <c r="R1400" s="332"/>
      <c r="S1400" s="332"/>
      <c r="T1400" s="332"/>
    </row>
    <row r="1401" spans="1:20" x14ac:dyDescent="0.6">
      <c r="A1401" s="334"/>
      <c r="B1401" s="610"/>
      <c r="C1401" s="365"/>
      <c r="D1401" s="364"/>
      <c r="E1401" s="363"/>
      <c r="F1401" s="363"/>
      <c r="G1401" s="364"/>
      <c r="H1401" s="363"/>
      <c r="I1401" s="363"/>
      <c r="J1401" s="364"/>
      <c r="K1401" s="363"/>
      <c r="L1401" s="363"/>
      <c r="M1401" s="737"/>
      <c r="N1401" s="332"/>
      <c r="O1401" s="332"/>
      <c r="P1401" s="332"/>
      <c r="Q1401" s="332"/>
      <c r="R1401" s="332"/>
      <c r="S1401" s="332"/>
      <c r="T1401" s="332"/>
    </row>
    <row r="1402" spans="1:20" x14ac:dyDescent="0.6">
      <c r="A1402" s="334"/>
      <c r="B1402" s="610"/>
      <c r="C1402" s="365"/>
      <c r="D1402" s="364"/>
      <c r="E1402" s="363"/>
      <c r="F1402" s="363"/>
      <c r="G1402" s="364"/>
      <c r="H1402" s="363"/>
      <c r="I1402" s="363"/>
      <c r="J1402" s="364"/>
      <c r="K1402" s="363"/>
      <c r="L1402" s="363"/>
      <c r="M1402" s="737"/>
      <c r="N1402" s="332"/>
      <c r="O1402" s="332"/>
      <c r="P1402" s="332"/>
      <c r="Q1402" s="332"/>
      <c r="R1402" s="332"/>
      <c r="S1402" s="332"/>
      <c r="T1402" s="332"/>
    </row>
    <row r="1403" spans="1:20" x14ac:dyDescent="0.6">
      <c r="A1403" s="334"/>
      <c r="B1403" s="610"/>
      <c r="C1403" s="365"/>
      <c r="D1403" s="364"/>
      <c r="E1403" s="363"/>
      <c r="F1403" s="363"/>
      <c r="G1403" s="364"/>
      <c r="H1403" s="363"/>
      <c r="I1403" s="363"/>
      <c r="J1403" s="364"/>
      <c r="K1403" s="363"/>
      <c r="L1403" s="363"/>
      <c r="M1403" s="737"/>
      <c r="N1403" s="332"/>
      <c r="O1403" s="332"/>
      <c r="P1403" s="332"/>
      <c r="Q1403" s="332"/>
      <c r="R1403" s="332"/>
      <c r="S1403" s="332"/>
      <c r="T1403" s="332"/>
    </row>
    <row r="1404" spans="1:20" x14ac:dyDescent="0.6">
      <c r="A1404" s="334"/>
      <c r="B1404" s="610"/>
      <c r="C1404" s="365"/>
      <c r="D1404" s="364"/>
      <c r="E1404" s="363"/>
      <c r="F1404" s="363"/>
      <c r="G1404" s="364"/>
      <c r="H1404" s="363"/>
      <c r="I1404" s="363"/>
      <c r="J1404" s="364"/>
      <c r="K1404" s="363"/>
      <c r="L1404" s="363"/>
      <c r="M1404" s="737"/>
      <c r="N1404" s="332"/>
      <c r="O1404" s="332"/>
      <c r="P1404" s="332"/>
      <c r="Q1404" s="332"/>
      <c r="R1404" s="332"/>
      <c r="S1404" s="332"/>
      <c r="T1404" s="332"/>
    </row>
    <row r="1405" spans="1:20" x14ac:dyDescent="0.6">
      <c r="A1405" s="334"/>
      <c r="B1405" s="610"/>
      <c r="C1405" s="365"/>
      <c r="D1405" s="364"/>
      <c r="E1405" s="363"/>
      <c r="F1405" s="363"/>
      <c r="G1405" s="364"/>
      <c r="H1405" s="363"/>
      <c r="I1405" s="363"/>
      <c r="J1405" s="364"/>
      <c r="K1405" s="363"/>
      <c r="L1405" s="363"/>
      <c r="M1405" s="737"/>
      <c r="N1405" s="332"/>
      <c r="O1405" s="332"/>
      <c r="P1405" s="332"/>
      <c r="Q1405" s="332"/>
      <c r="R1405" s="332"/>
      <c r="S1405" s="332"/>
      <c r="T1405" s="332"/>
    </row>
    <row r="1406" spans="1:20" x14ac:dyDescent="0.6">
      <c r="A1406" s="334"/>
      <c r="B1406" s="610"/>
      <c r="C1406" s="365"/>
      <c r="D1406" s="364"/>
      <c r="E1406" s="363"/>
      <c r="F1406" s="363"/>
      <c r="G1406" s="364"/>
      <c r="H1406" s="363"/>
      <c r="I1406" s="363"/>
      <c r="J1406" s="364"/>
      <c r="K1406" s="363"/>
      <c r="L1406" s="363"/>
      <c r="M1406" s="737"/>
      <c r="N1406" s="332"/>
      <c r="O1406" s="332"/>
      <c r="P1406" s="332"/>
      <c r="Q1406" s="332"/>
      <c r="R1406" s="332"/>
      <c r="S1406" s="332"/>
      <c r="T1406" s="332"/>
    </row>
    <row r="1407" spans="1:20" x14ac:dyDescent="0.6">
      <c r="A1407" s="334"/>
      <c r="B1407" s="610"/>
      <c r="C1407" s="365"/>
      <c r="D1407" s="364"/>
      <c r="E1407" s="363"/>
      <c r="F1407" s="363"/>
      <c r="G1407" s="364"/>
      <c r="H1407" s="363"/>
      <c r="I1407" s="363"/>
      <c r="J1407" s="364"/>
      <c r="K1407" s="363"/>
      <c r="L1407" s="363"/>
      <c r="M1407" s="737"/>
      <c r="N1407" s="332"/>
      <c r="O1407" s="332"/>
      <c r="P1407" s="332"/>
      <c r="Q1407" s="332"/>
      <c r="R1407" s="332"/>
      <c r="S1407" s="332"/>
      <c r="T1407" s="332"/>
    </row>
    <row r="1408" spans="1:20" x14ac:dyDescent="0.6">
      <c r="A1408" s="334"/>
      <c r="B1408" s="610"/>
      <c r="C1408" s="365"/>
      <c r="D1408" s="364"/>
      <c r="E1408" s="363"/>
      <c r="F1408" s="363"/>
      <c r="G1408" s="364"/>
      <c r="H1408" s="363"/>
      <c r="I1408" s="363"/>
      <c r="J1408" s="364"/>
      <c r="K1408" s="363"/>
      <c r="L1408" s="363"/>
      <c r="M1408" s="737"/>
      <c r="N1408" s="332"/>
      <c r="O1408" s="332"/>
      <c r="P1408" s="332"/>
      <c r="Q1408" s="332"/>
      <c r="R1408" s="332"/>
      <c r="S1408" s="332"/>
      <c r="T1408" s="332"/>
    </row>
    <row r="1409" spans="1:20" x14ac:dyDescent="0.6">
      <c r="A1409" s="334"/>
      <c r="B1409" s="610"/>
      <c r="C1409" s="365"/>
      <c r="D1409" s="364"/>
      <c r="E1409" s="363"/>
      <c r="F1409" s="363"/>
      <c r="G1409" s="364"/>
      <c r="H1409" s="363"/>
      <c r="I1409" s="363"/>
      <c r="J1409" s="364"/>
      <c r="K1409" s="363"/>
      <c r="L1409" s="363"/>
      <c r="M1409" s="737"/>
      <c r="N1409" s="332"/>
      <c r="O1409" s="332"/>
      <c r="P1409" s="332"/>
      <c r="Q1409" s="332"/>
      <c r="R1409" s="332"/>
      <c r="S1409" s="332"/>
      <c r="T1409" s="332"/>
    </row>
    <row r="1410" spans="1:20" x14ac:dyDescent="0.6">
      <c r="A1410" s="334"/>
      <c r="B1410" s="610"/>
      <c r="C1410" s="365"/>
      <c r="D1410" s="364"/>
      <c r="E1410" s="363"/>
      <c r="F1410" s="363"/>
      <c r="G1410" s="364"/>
      <c r="H1410" s="363"/>
      <c r="I1410" s="363"/>
      <c r="J1410" s="364"/>
      <c r="K1410" s="363"/>
      <c r="L1410" s="363"/>
      <c r="M1410" s="737"/>
      <c r="N1410" s="332"/>
      <c r="O1410" s="332"/>
      <c r="P1410" s="332"/>
      <c r="Q1410" s="332"/>
      <c r="R1410" s="332"/>
      <c r="S1410" s="332"/>
      <c r="T1410" s="332"/>
    </row>
    <row r="1411" spans="1:20" x14ac:dyDescent="0.6">
      <c r="A1411" s="334"/>
      <c r="B1411" s="610"/>
      <c r="C1411" s="365"/>
      <c r="D1411" s="364"/>
      <c r="E1411" s="363"/>
      <c r="F1411" s="363"/>
      <c r="G1411" s="364"/>
      <c r="H1411" s="363"/>
      <c r="I1411" s="363"/>
      <c r="J1411" s="364"/>
      <c r="K1411" s="363"/>
      <c r="L1411" s="363"/>
      <c r="M1411" s="737"/>
      <c r="N1411" s="332"/>
      <c r="O1411" s="332"/>
      <c r="P1411" s="332"/>
      <c r="Q1411" s="332"/>
      <c r="R1411" s="332"/>
      <c r="S1411" s="332"/>
      <c r="T1411" s="332"/>
    </row>
    <row r="1412" spans="1:20" x14ac:dyDescent="0.6">
      <c r="A1412" s="334"/>
      <c r="B1412" s="610"/>
      <c r="C1412" s="365"/>
      <c r="D1412" s="364"/>
      <c r="E1412" s="363"/>
      <c r="F1412" s="363"/>
      <c r="G1412" s="364"/>
      <c r="H1412" s="363"/>
      <c r="I1412" s="363"/>
      <c r="J1412" s="364"/>
      <c r="K1412" s="363"/>
      <c r="L1412" s="363"/>
      <c r="M1412" s="737"/>
      <c r="N1412" s="332"/>
      <c r="O1412" s="332"/>
      <c r="P1412" s="332"/>
      <c r="Q1412" s="332"/>
      <c r="R1412" s="332"/>
      <c r="S1412" s="332"/>
      <c r="T1412" s="332"/>
    </row>
    <row r="1413" spans="1:20" x14ac:dyDescent="0.6">
      <c r="A1413" s="334"/>
      <c r="B1413" s="610"/>
      <c r="C1413" s="365"/>
      <c r="D1413" s="364"/>
      <c r="E1413" s="363"/>
      <c r="F1413" s="363"/>
      <c r="G1413" s="364"/>
      <c r="H1413" s="363"/>
      <c r="I1413" s="363"/>
      <c r="J1413" s="364"/>
      <c r="K1413" s="363"/>
      <c r="L1413" s="363"/>
      <c r="M1413" s="737"/>
      <c r="N1413" s="332"/>
      <c r="O1413" s="332"/>
      <c r="P1413" s="332"/>
      <c r="Q1413" s="332"/>
      <c r="R1413" s="332"/>
      <c r="S1413" s="332"/>
      <c r="T1413" s="332"/>
    </row>
    <row r="1414" spans="1:20" x14ac:dyDescent="0.6">
      <c r="A1414" s="334"/>
      <c r="B1414" s="610"/>
      <c r="C1414" s="365"/>
      <c r="D1414" s="364"/>
      <c r="E1414" s="363"/>
      <c r="F1414" s="363"/>
      <c r="G1414" s="364"/>
      <c r="H1414" s="363"/>
      <c r="I1414" s="363"/>
      <c r="J1414" s="364"/>
      <c r="K1414" s="363"/>
      <c r="L1414" s="363"/>
      <c r="M1414" s="737"/>
      <c r="N1414" s="332"/>
      <c r="O1414" s="332"/>
      <c r="P1414" s="332"/>
      <c r="Q1414" s="332"/>
      <c r="R1414" s="332"/>
      <c r="S1414" s="332"/>
      <c r="T1414" s="332"/>
    </row>
    <row r="1415" spans="1:20" x14ac:dyDescent="0.6">
      <c r="A1415" s="334"/>
      <c r="B1415" s="610"/>
      <c r="C1415" s="365"/>
      <c r="D1415" s="364"/>
      <c r="E1415" s="363"/>
      <c r="F1415" s="363"/>
      <c r="G1415" s="364"/>
      <c r="H1415" s="363"/>
      <c r="I1415" s="363"/>
      <c r="J1415" s="364"/>
      <c r="K1415" s="363"/>
      <c r="L1415" s="363"/>
      <c r="M1415" s="737"/>
      <c r="N1415" s="332"/>
      <c r="O1415" s="332"/>
      <c r="P1415" s="332"/>
      <c r="Q1415" s="332"/>
      <c r="R1415" s="332"/>
      <c r="S1415" s="332"/>
      <c r="T1415" s="332"/>
    </row>
    <row r="1416" spans="1:20" x14ac:dyDescent="0.6">
      <c r="A1416" s="334"/>
      <c r="B1416" s="610"/>
      <c r="C1416" s="365"/>
      <c r="D1416" s="364"/>
      <c r="E1416" s="363"/>
      <c r="F1416" s="363"/>
      <c r="G1416" s="364"/>
      <c r="H1416" s="363"/>
      <c r="I1416" s="363"/>
      <c r="J1416" s="364"/>
      <c r="K1416" s="363"/>
      <c r="L1416" s="363"/>
      <c r="M1416" s="737"/>
      <c r="N1416" s="332"/>
      <c r="O1416" s="332"/>
      <c r="P1416" s="332"/>
      <c r="Q1416" s="332"/>
      <c r="R1416" s="332"/>
      <c r="S1416" s="332"/>
      <c r="T1416" s="332"/>
    </row>
    <row r="1417" spans="1:20" x14ac:dyDescent="0.6">
      <c r="A1417" s="334"/>
      <c r="B1417" s="610"/>
      <c r="C1417" s="365"/>
      <c r="D1417" s="364"/>
      <c r="E1417" s="363"/>
      <c r="F1417" s="363"/>
      <c r="G1417" s="364"/>
      <c r="H1417" s="363"/>
      <c r="I1417" s="363"/>
      <c r="J1417" s="364"/>
      <c r="K1417" s="363"/>
      <c r="L1417" s="363"/>
      <c r="M1417" s="737"/>
      <c r="N1417" s="332"/>
      <c r="O1417" s="332"/>
      <c r="P1417" s="332"/>
      <c r="Q1417" s="332"/>
      <c r="R1417" s="332"/>
      <c r="S1417" s="332"/>
      <c r="T1417" s="332"/>
    </row>
    <row r="1418" spans="1:20" x14ac:dyDescent="0.6">
      <c r="A1418" s="334"/>
      <c r="B1418" s="610"/>
      <c r="C1418" s="365"/>
      <c r="D1418" s="364"/>
      <c r="E1418" s="363"/>
      <c r="F1418" s="363"/>
      <c r="G1418" s="364"/>
      <c r="H1418" s="363"/>
      <c r="I1418" s="363"/>
      <c r="J1418" s="364"/>
      <c r="K1418" s="363"/>
      <c r="L1418" s="363"/>
      <c r="M1418" s="737"/>
      <c r="N1418" s="332"/>
      <c r="O1418" s="332"/>
      <c r="P1418" s="332"/>
      <c r="Q1418" s="332"/>
      <c r="R1418" s="332"/>
      <c r="S1418" s="332"/>
      <c r="T1418" s="332"/>
    </row>
    <row r="1419" spans="1:20" x14ac:dyDescent="0.6">
      <c r="A1419" s="334"/>
      <c r="B1419" s="610"/>
      <c r="C1419" s="365"/>
      <c r="D1419" s="364"/>
      <c r="E1419" s="363"/>
      <c r="F1419" s="363"/>
      <c r="G1419" s="364"/>
      <c r="H1419" s="363"/>
      <c r="I1419" s="363"/>
      <c r="J1419" s="364"/>
      <c r="K1419" s="363"/>
      <c r="L1419" s="363"/>
      <c r="M1419" s="737"/>
      <c r="N1419" s="332"/>
      <c r="O1419" s="332"/>
      <c r="P1419" s="332"/>
      <c r="Q1419" s="332"/>
      <c r="R1419" s="332"/>
      <c r="S1419" s="332"/>
      <c r="T1419" s="332"/>
    </row>
    <row r="1420" spans="1:20" x14ac:dyDescent="0.6">
      <c r="A1420" s="334"/>
      <c r="B1420" s="610"/>
      <c r="C1420" s="365"/>
      <c r="D1420" s="364"/>
      <c r="E1420" s="363"/>
      <c r="F1420" s="363"/>
      <c r="G1420" s="364"/>
      <c r="H1420" s="363"/>
      <c r="I1420" s="363"/>
      <c r="J1420" s="364"/>
      <c r="K1420" s="363"/>
      <c r="L1420" s="363"/>
      <c r="M1420" s="737"/>
      <c r="N1420" s="332"/>
      <c r="O1420" s="332"/>
      <c r="P1420" s="332"/>
      <c r="Q1420" s="332"/>
      <c r="R1420" s="332"/>
      <c r="S1420" s="332"/>
      <c r="T1420" s="332"/>
    </row>
    <row r="1421" spans="1:20" x14ac:dyDescent="0.6">
      <c r="A1421" s="334"/>
      <c r="B1421" s="610"/>
      <c r="C1421" s="365"/>
      <c r="D1421" s="364"/>
      <c r="E1421" s="363"/>
      <c r="F1421" s="363"/>
      <c r="G1421" s="364"/>
      <c r="H1421" s="363"/>
      <c r="I1421" s="363"/>
      <c r="J1421" s="364"/>
      <c r="K1421" s="363"/>
      <c r="L1421" s="363"/>
      <c r="M1421" s="737"/>
      <c r="N1421" s="332"/>
      <c r="O1421" s="332"/>
      <c r="P1421" s="332"/>
      <c r="Q1421" s="332"/>
      <c r="R1421" s="332"/>
      <c r="S1421" s="332"/>
      <c r="T1421" s="332"/>
    </row>
    <row r="1422" spans="1:20" x14ac:dyDescent="0.6">
      <c r="A1422" s="334"/>
      <c r="B1422" s="610"/>
      <c r="C1422" s="365"/>
      <c r="D1422" s="364"/>
      <c r="E1422" s="363"/>
      <c r="F1422" s="363"/>
      <c r="G1422" s="364"/>
      <c r="H1422" s="363"/>
      <c r="I1422" s="363"/>
      <c r="J1422" s="364"/>
      <c r="K1422" s="363"/>
      <c r="L1422" s="363"/>
      <c r="M1422" s="737"/>
      <c r="N1422" s="332"/>
      <c r="O1422" s="332"/>
      <c r="P1422" s="332"/>
      <c r="Q1422" s="332"/>
      <c r="R1422" s="332"/>
      <c r="S1422" s="332"/>
      <c r="T1422" s="332"/>
    </row>
    <row r="1423" spans="1:20" x14ac:dyDescent="0.6">
      <c r="A1423" s="334"/>
      <c r="B1423" s="610"/>
      <c r="C1423" s="365"/>
      <c r="D1423" s="364"/>
      <c r="E1423" s="363"/>
      <c r="F1423" s="363"/>
      <c r="G1423" s="364"/>
      <c r="H1423" s="363"/>
      <c r="I1423" s="363"/>
      <c r="J1423" s="364"/>
      <c r="K1423" s="363"/>
      <c r="L1423" s="363"/>
      <c r="M1423" s="737"/>
      <c r="N1423" s="332"/>
      <c r="O1423" s="332"/>
      <c r="P1423" s="332"/>
      <c r="Q1423" s="332"/>
      <c r="R1423" s="332"/>
      <c r="S1423" s="332"/>
      <c r="T1423" s="332"/>
    </row>
    <row r="1424" spans="1:20" x14ac:dyDescent="0.6">
      <c r="A1424" s="334"/>
      <c r="B1424" s="610"/>
      <c r="C1424" s="365"/>
      <c r="D1424" s="364"/>
      <c r="E1424" s="363"/>
      <c r="F1424" s="363"/>
      <c r="G1424" s="364"/>
      <c r="H1424" s="363"/>
      <c r="I1424" s="363"/>
      <c r="J1424" s="364"/>
      <c r="K1424" s="363"/>
      <c r="L1424" s="363"/>
      <c r="M1424" s="737"/>
      <c r="N1424" s="332"/>
      <c r="O1424" s="332"/>
      <c r="P1424" s="332"/>
      <c r="Q1424" s="332"/>
      <c r="R1424" s="332"/>
      <c r="S1424" s="332"/>
      <c r="T1424" s="332"/>
    </row>
    <row r="1425" spans="1:20" x14ac:dyDescent="0.6">
      <c r="A1425" s="334"/>
      <c r="B1425" s="610"/>
      <c r="C1425" s="365"/>
      <c r="D1425" s="364"/>
      <c r="E1425" s="363"/>
      <c r="F1425" s="363"/>
      <c r="G1425" s="364"/>
      <c r="H1425" s="363"/>
      <c r="I1425" s="363"/>
      <c r="J1425" s="364"/>
      <c r="K1425" s="363"/>
      <c r="L1425" s="363"/>
      <c r="M1425" s="737"/>
      <c r="N1425" s="332"/>
      <c r="O1425" s="332"/>
      <c r="P1425" s="332"/>
      <c r="Q1425" s="332"/>
      <c r="R1425" s="332"/>
      <c r="S1425" s="332"/>
      <c r="T1425" s="332"/>
    </row>
    <row r="1426" spans="1:20" x14ac:dyDescent="0.6">
      <c r="A1426" s="334"/>
      <c r="B1426" s="610"/>
      <c r="C1426" s="365"/>
      <c r="D1426" s="364"/>
      <c r="E1426" s="363"/>
      <c r="F1426" s="363"/>
      <c r="G1426" s="364"/>
      <c r="H1426" s="363"/>
      <c r="I1426" s="363"/>
      <c r="J1426" s="364"/>
      <c r="K1426" s="363"/>
      <c r="L1426" s="363"/>
      <c r="M1426" s="737"/>
      <c r="N1426" s="332"/>
      <c r="O1426" s="332"/>
      <c r="P1426" s="332"/>
      <c r="Q1426" s="332"/>
      <c r="R1426" s="332"/>
      <c r="S1426" s="332"/>
      <c r="T1426" s="332"/>
    </row>
    <row r="1427" spans="1:20" x14ac:dyDescent="0.6">
      <c r="A1427" s="334"/>
      <c r="B1427" s="610"/>
      <c r="C1427" s="365"/>
      <c r="D1427" s="364"/>
      <c r="E1427" s="363"/>
      <c r="F1427" s="363"/>
      <c r="G1427" s="364"/>
      <c r="H1427" s="363"/>
      <c r="I1427" s="363"/>
      <c r="J1427" s="364"/>
      <c r="K1427" s="363"/>
      <c r="L1427" s="363"/>
      <c r="M1427" s="737"/>
      <c r="N1427" s="332"/>
      <c r="O1427" s="332"/>
      <c r="P1427" s="332"/>
      <c r="Q1427" s="332"/>
      <c r="R1427" s="332"/>
      <c r="S1427" s="332"/>
      <c r="T1427" s="332"/>
    </row>
    <row r="1428" spans="1:20" x14ac:dyDescent="0.6">
      <c r="A1428" s="334"/>
      <c r="B1428" s="610"/>
      <c r="C1428" s="365"/>
      <c r="D1428" s="364"/>
      <c r="E1428" s="363"/>
      <c r="F1428" s="363"/>
      <c r="G1428" s="364"/>
      <c r="H1428" s="363"/>
      <c r="I1428" s="363"/>
      <c r="J1428" s="364"/>
      <c r="K1428" s="363"/>
      <c r="L1428" s="363"/>
      <c r="M1428" s="737"/>
      <c r="N1428" s="332"/>
      <c r="O1428" s="332"/>
      <c r="P1428" s="332"/>
      <c r="Q1428" s="332"/>
      <c r="R1428" s="332"/>
      <c r="S1428" s="332"/>
      <c r="T1428" s="332"/>
    </row>
    <row r="1429" spans="1:20" x14ac:dyDescent="0.6">
      <c r="A1429" s="334"/>
      <c r="B1429" s="610"/>
      <c r="C1429" s="365"/>
      <c r="D1429" s="364"/>
      <c r="E1429" s="363"/>
      <c r="F1429" s="363"/>
      <c r="G1429" s="364"/>
      <c r="H1429" s="363"/>
      <c r="I1429" s="363"/>
      <c r="J1429" s="364"/>
      <c r="K1429" s="363"/>
      <c r="L1429" s="363"/>
      <c r="M1429" s="737"/>
      <c r="N1429" s="332"/>
      <c r="O1429" s="332"/>
      <c r="P1429" s="332"/>
      <c r="Q1429" s="332"/>
      <c r="R1429" s="332"/>
      <c r="S1429" s="332"/>
      <c r="T1429" s="332"/>
    </row>
    <row r="1430" spans="1:20" x14ac:dyDescent="0.6">
      <c r="A1430" s="334"/>
      <c r="B1430" s="610"/>
      <c r="C1430" s="365"/>
      <c r="D1430" s="364"/>
      <c r="E1430" s="363"/>
      <c r="F1430" s="363"/>
      <c r="G1430" s="364"/>
      <c r="H1430" s="363"/>
      <c r="I1430" s="363"/>
      <c r="J1430" s="364"/>
      <c r="K1430" s="363"/>
      <c r="L1430" s="363"/>
      <c r="M1430" s="737"/>
      <c r="N1430" s="332"/>
      <c r="O1430" s="332"/>
      <c r="P1430" s="332"/>
      <c r="Q1430" s="332"/>
      <c r="R1430" s="332"/>
      <c r="S1430" s="332"/>
      <c r="T1430" s="332"/>
    </row>
    <row r="1431" spans="1:20" x14ac:dyDescent="0.6">
      <c r="A1431" s="334"/>
      <c r="B1431" s="610"/>
      <c r="C1431" s="365"/>
      <c r="D1431" s="364"/>
      <c r="E1431" s="363"/>
      <c r="F1431" s="363"/>
      <c r="G1431" s="364"/>
      <c r="H1431" s="363"/>
      <c r="I1431" s="363"/>
      <c r="J1431" s="364"/>
      <c r="K1431" s="363"/>
      <c r="L1431" s="363"/>
      <c r="M1431" s="737"/>
      <c r="N1431" s="332"/>
      <c r="O1431" s="332"/>
      <c r="P1431" s="332"/>
      <c r="Q1431" s="332"/>
      <c r="R1431" s="332"/>
      <c r="S1431" s="332"/>
      <c r="T1431" s="332"/>
    </row>
    <row r="1432" spans="1:20" x14ac:dyDescent="0.6">
      <c r="A1432" s="334"/>
      <c r="B1432" s="610"/>
      <c r="C1432" s="365"/>
      <c r="D1432" s="364"/>
      <c r="E1432" s="363"/>
      <c r="F1432" s="363"/>
      <c r="G1432" s="364"/>
      <c r="H1432" s="363"/>
      <c r="I1432" s="363"/>
      <c r="J1432" s="364"/>
      <c r="K1432" s="363"/>
      <c r="L1432" s="363"/>
      <c r="M1432" s="737"/>
      <c r="N1432" s="332"/>
      <c r="O1432" s="332"/>
      <c r="P1432" s="332"/>
      <c r="Q1432" s="332"/>
      <c r="R1432" s="332"/>
      <c r="S1432" s="332"/>
      <c r="T1432" s="332"/>
    </row>
    <row r="1433" spans="1:20" x14ac:dyDescent="0.6">
      <c r="A1433" s="334"/>
      <c r="B1433" s="610"/>
      <c r="C1433" s="365"/>
      <c r="D1433" s="364"/>
      <c r="E1433" s="363"/>
      <c r="F1433" s="363"/>
      <c r="G1433" s="364"/>
      <c r="H1433" s="363"/>
      <c r="I1433" s="363"/>
      <c r="J1433" s="364"/>
      <c r="K1433" s="363"/>
      <c r="L1433" s="363"/>
      <c r="M1433" s="737"/>
      <c r="N1433" s="332"/>
      <c r="O1433" s="332"/>
      <c r="P1433" s="332"/>
      <c r="Q1433" s="332"/>
      <c r="R1433" s="332"/>
      <c r="S1433" s="332"/>
      <c r="T1433" s="332"/>
    </row>
    <row r="1434" spans="1:20" x14ac:dyDescent="0.6">
      <c r="A1434" s="334"/>
      <c r="B1434" s="610"/>
      <c r="C1434" s="365"/>
      <c r="D1434" s="364"/>
      <c r="E1434" s="363"/>
      <c r="F1434" s="363"/>
      <c r="G1434" s="364"/>
      <c r="H1434" s="363"/>
      <c r="I1434" s="363"/>
      <c r="J1434" s="364"/>
      <c r="K1434" s="363"/>
      <c r="L1434" s="363"/>
      <c r="M1434" s="737"/>
      <c r="N1434" s="332"/>
      <c r="O1434" s="332"/>
      <c r="P1434" s="332"/>
      <c r="Q1434" s="332"/>
      <c r="R1434" s="332"/>
      <c r="S1434" s="332"/>
      <c r="T1434" s="332"/>
    </row>
    <row r="1435" spans="1:20" x14ac:dyDescent="0.6">
      <c r="A1435" s="334"/>
      <c r="B1435" s="610"/>
      <c r="C1435" s="365"/>
      <c r="D1435" s="364"/>
      <c r="E1435" s="363"/>
      <c r="F1435" s="363"/>
      <c r="G1435" s="364"/>
      <c r="H1435" s="363"/>
      <c r="I1435" s="363"/>
      <c r="J1435" s="364"/>
      <c r="K1435" s="363"/>
      <c r="L1435" s="363"/>
      <c r="M1435" s="737"/>
      <c r="N1435" s="332"/>
      <c r="O1435" s="332"/>
      <c r="P1435" s="332"/>
      <c r="Q1435" s="332"/>
      <c r="R1435" s="332"/>
      <c r="S1435" s="332"/>
      <c r="T1435" s="332"/>
    </row>
    <row r="1436" spans="1:20" x14ac:dyDescent="0.6">
      <c r="A1436" s="334"/>
      <c r="B1436" s="610"/>
      <c r="C1436" s="365"/>
      <c r="D1436" s="364"/>
      <c r="E1436" s="363"/>
      <c r="F1436" s="363"/>
      <c r="G1436" s="364"/>
      <c r="H1436" s="363"/>
      <c r="I1436" s="363"/>
      <c r="J1436" s="364"/>
      <c r="K1436" s="363"/>
      <c r="L1436" s="363"/>
      <c r="M1436" s="737"/>
      <c r="N1436" s="332"/>
      <c r="O1436" s="332"/>
      <c r="P1436" s="332"/>
      <c r="Q1436" s="332"/>
      <c r="R1436" s="332"/>
      <c r="S1436" s="332"/>
      <c r="T1436" s="332"/>
    </row>
    <row r="1437" spans="1:20" x14ac:dyDescent="0.6">
      <c r="A1437" s="334"/>
      <c r="B1437" s="610"/>
      <c r="C1437" s="365"/>
      <c r="D1437" s="364"/>
      <c r="E1437" s="363"/>
      <c r="F1437" s="363"/>
      <c r="G1437" s="364"/>
      <c r="H1437" s="363"/>
      <c r="I1437" s="363"/>
      <c r="J1437" s="364"/>
      <c r="K1437" s="363"/>
      <c r="L1437" s="363"/>
      <c r="M1437" s="737"/>
      <c r="N1437" s="332"/>
      <c r="O1437" s="332"/>
      <c r="P1437" s="332"/>
      <c r="Q1437" s="332"/>
      <c r="R1437" s="332"/>
      <c r="S1437" s="332"/>
      <c r="T1437" s="332"/>
    </row>
    <row r="1438" spans="1:20" x14ac:dyDescent="0.6">
      <c r="A1438" s="334"/>
      <c r="B1438" s="610"/>
      <c r="C1438" s="365"/>
      <c r="D1438" s="364"/>
      <c r="E1438" s="363"/>
      <c r="F1438" s="363"/>
      <c r="G1438" s="364"/>
      <c r="H1438" s="363"/>
      <c r="I1438" s="363"/>
      <c r="J1438" s="364"/>
      <c r="K1438" s="363"/>
      <c r="L1438" s="363"/>
      <c r="M1438" s="737"/>
      <c r="N1438" s="332"/>
      <c r="O1438" s="332"/>
      <c r="P1438" s="332"/>
      <c r="Q1438" s="332"/>
      <c r="R1438" s="332"/>
      <c r="S1438" s="332"/>
      <c r="T1438" s="332"/>
    </row>
    <row r="1439" spans="1:20" x14ac:dyDescent="0.6">
      <c r="A1439" s="334"/>
      <c r="B1439" s="610"/>
      <c r="C1439" s="365"/>
      <c r="D1439" s="364"/>
      <c r="E1439" s="363"/>
      <c r="F1439" s="363"/>
      <c r="G1439" s="364"/>
      <c r="H1439" s="363"/>
      <c r="I1439" s="363"/>
      <c r="J1439" s="364"/>
      <c r="K1439" s="363"/>
      <c r="L1439" s="363"/>
      <c r="M1439" s="737"/>
      <c r="N1439" s="332"/>
      <c r="O1439" s="332"/>
      <c r="P1439" s="332"/>
      <c r="Q1439" s="332"/>
      <c r="R1439" s="332"/>
      <c r="S1439" s="332"/>
      <c r="T1439" s="332"/>
    </row>
    <row r="1440" spans="1:20" x14ac:dyDescent="0.6">
      <c r="A1440" s="334"/>
      <c r="B1440" s="610"/>
      <c r="C1440" s="365"/>
      <c r="D1440" s="364"/>
      <c r="E1440" s="363"/>
      <c r="F1440" s="363"/>
      <c r="G1440" s="364"/>
      <c r="H1440" s="363"/>
      <c r="I1440" s="363"/>
      <c r="J1440" s="364"/>
      <c r="K1440" s="363"/>
      <c r="L1440" s="363"/>
      <c r="M1440" s="737"/>
      <c r="N1440" s="332"/>
      <c r="O1440" s="332"/>
      <c r="P1440" s="332"/>
      <c r="Q1440" s="332"/>
      <c r="R1440" s="332"/>
      <c r="S1440" s="332"/>
      <c r="T1440" s="332"/>
    </row>
    <row r="1441" spans="1:20" x14ac:dyDescent="0.6">
      <c r="A1441" s="334"/>
      <c r="B1441" s="610"/>
      <c r="C1441" s="365"/>
      <c r="D1441" s="364"/>
      <c r="E1441" s="363"/>
      <c r="F1441" s="363"/>
      <c r="G1441" s="364"/>
      <c r="H1441" s="363"/>
      <c r="I1441" s="363"/>
      <c r="J1441" s="364"/>
      <c r="K1441" s="363"/>
      <c r="L1441" s="363"/>
      <c r="M1441" s="737"/>
      <c r="N1441" s="332"/>
      <c r="O1441" s="332"/>
      <c r="P1441" s="332"/>
      <c r="Q1441" s="332"/>
      <c r="R1441" s="332"/>
      <c r="S1441" s="332"/>
      <c r="T1441" s="332"/>
    </row>
    <row r="1442" spans="1:20" x14ac:dyDescent="0.6">
      <c r="A1442" s="334"/>
      <c r="B1442" s="610"/>
      <c r="C1442" s="365"/>
      <c r="D1442" s="364"/>
      <c r="E1442" s="363"/>
      <c r="F1442" s="363"/>
      <c r="G1442" s="364"/>
      <c r="H1442" s="363"/>
      <c r="I1442" s="363"/>
      <c r="J1442" s="364"/>
      <c r="K1442" s="363"/>
      <c r="L1442" s="363"/>
      <c r="M1442" s="737"/>
      <c r="N1442" s="332"/>
      <c r="O1442" s="332"/>
      <c r="P1442" s="332"/>
      <c r="Q1442" s="332"/>
      <c r="R1442" s="332"/>
      <c r="S1442" s="332"/>
      <c r="T1442" s="332"/>
    </row>
    <row r="1443" spans="1:20" x14ac:dyDescent="0.6">
      <c r="A1443" s="334"/>
      <c r="B1443" s="610"/>
      <c r="C1443" s="365"/>
      <c r="D1443" s="364"/>
      <c r="E1443" s="363"/>
      <c r="F1443" s="363"/>
      <c r="G1443" s="364"/>
      <c r="H1443" s="363"/>
      <c r="I1443" s="363"/>
      <c r="J1443" s="364"/>
      <c r="K1443" s="363"/>
      <c r="L1443" s="363"/>
      <c r="M1443" s="737"/>
      <c r="N1443" s="332"/>
      <c r="O1443" s="332"/>
      <c r="P1443" s="332"/>
      <c r="Q1443" s="332"/>
      <c r="R1443" s="332"/>
      <c r="S1443" s="332"/>
      <c r="T1443" s="332"/>
    </row>
    <row r="1444" spans="1:20" x14ac:dyDescent="0.6">
      <c r="A1444" s="334"/>
      <c r="B1444" s="610"/>
      <c r="C1444" s="365"/>
      <c r="D1444" s="364"/>
      <c r="E1444" s="363"/>
      <c r="F1444" s="363"/>
      <c r="G1444" s="364"/>
      <c r="H1444" s="363"/>
      <c r="I1444" s="363"/>
      <c r="J1444" s="364"/>
      <c r="K1444" s="363"/>
      <c r="L1444" s="363"/>
      <c r="M1444" s="737"/>
      <c r="N1444" s="332"/>
      <c r="O1444" s="332"/>
      <c r="P1444" s="332"/>
      <c r="Q1444" s="332"/>
      <c r="R1444" s="332"/>
      <c r="S1444" s="332"/>
      <c r="T1444" s="332"/>
    </row>
    <row r="1445" spans="1:20" x14ac:dyDescent="0.6">
      <c r="A1445" s="334"/>
      <c r="B1445" s="610"/>
      <c r="C1445" s="365"/>
      <c r="D1445" s="364"/>
      <c r="E1445" s="363"/>
      <c r="F1445" s="363"/>
      <c r="G1445" s="364"/>
      <c r="H1445" s="363"/>
      <c r="I1445" s="363"/>
      <c r="J1445" s="364"/>
      <c r="K1445" s="363"/>
      <c r="L1445" s="363"/>
      <c r="M1445" s="737"/>
      <c r="N1445" s="332"/>
      <c r="O1445" s="332"/>
      <c r="P1445" s="332"/>
      <c r="Q1445" s="332"/>
      <c r="R1445" s="332"/>
      <c r="S1445" s="332"/>
      <c r="T1445" s="332"/>
    </row>
    <row r="1446" spans="1:20" x14ac:dyDescent="0.6">
      <c r="A1446" s="334"/>
      <c r="B1446" s="610"/>
      <c r="C1446" s="365"/>
      <c r="D1446" s="364"/>
      <c r="E1446" s="363"/>
      <c r="F1446" s="363"/>
      <c r="G1446" s="364"/>
      <c r="H1446" s="363"/>
      <c r="I1446" s="363"/>
      <c r="J1446" s="364"/>
      <c r="K1446" s="363"/>
      <c r="L1446" s="363"/>
      <c r="M1446" s="737"/>
      <c r="N1446" s="332"/>
      <c r="O1446" s="332"/>
      <c r="P1446" s="332"/>
      <c r="Q1446" s="332"/>
      <c r="R1446" s="332"/>
      <c r="S1446" s="332"/>
      <c r="T1446" s="332"/>
    </row>
    <row r="1447" spans="1:20" x14ac:dyDescent="0.6">
      <c r="A1447" s="334"/>
      <c r="B1447" s="610"/>
      <c r="C1447" s="365"/>
      <c r="D1447" s="364"/>
      <c r="E1447" s="363"/>
      <c r="F1447" s="363"/>
      <c r="G1447" s="364"/>
      <c r="H1447" s="363"/>
      <c r="I1447" s="363"/>
      <c r="J1447" s="364"/>
      <c r="K1447" s="363"/>
      <c r="L1447" s="363"/>
      <c r="M1447" s="737"/>
      <c r="N1447" s="332"/>
      <c r="O1447" s="332"/>
      <c r="P1447" s="332"/>
      <c r="Q1447" s="332"/>
      <c r="R1447" s="332"/>
      <c r="S1447" s="332"/>
      <c r="T1447" s="332"/>
    </row>
    <row r="1448" spans="1:20" x14ac:dyDescent="0.6">
      <c r="A1448" s="334"/>
      <c r="B1448" s="610"/>
      <c r="C1448" s="365"/>
      <c r="D1448" s="364"/>
      <c r="E1448" s="363"/>
      <c r="F1448" s="363"/>
      <c r="G1448" s="364"/>
      <c r="H1448" s="363"/>
      <c r="I1448" s="363"/>
      <c r="J1448" s="364"/>
      <c r="K1448" s="363"/>
      <c r="L1448" s="363"/>
      <c r="M1448" s="737"/>
      <c r="N1448" s="332"/>
      <c r="O1448" s="332"/>
      <c r="P1448" s="332"/>
      <c r="Q1448" s="332"/>
      <c r="R1448" s="332"/>
      <c r="S1448" s="332"/>
      <c r="T1448" s="332"/>
    </row>
    <row r="1449" spans="1:20" x14ac:dyDescent="0.6">
      <c r="A1449" s="334"/>
      <c r="B1449" s="610"/>
      <c r="C1449" s="365"/>
      <c r="D1449" s="364"/>
      <c r="E1449" s="363"/>
      <c r="F1449" s="363"/>
      <c r="G1449" s="364"/>
      <c r="H1449" s="363"/>
      <c r="I1449" s="363"/>
      <c r="J1449" s="364"/>
      <c r="K1449" s="363"/>
      <c r="L1449" s="363"/>
      <c r="M1449" s="737"/>
      <c r="N1449" s="332"/>
      <c r="O1449" s="332"/>
      <c r="P1449" s="332"/>
      <c r="Q1449" s="332"/>
      <c r="R1449" s="332"/>
      <c r="S1449" s="332"/>
      <c r="T1449" s="332"/>
    </row>
    <row r="1450" spans="1:20" x14ac:dyDescent="0.6">
      <c r="A1450" s="334"/>
      <c r="B1450" s="610"/>
      <c r="C1450" s="365"/>
      <c r="D1450" s="364"/>
      <c r="E1450" s="363"/>
      <c r="F1450" s="363"/>
      <c r="G1450" s="364"/>
      <c r="H1450" s="363"/>
      <c r="I1450" s="363"/>
      <c r="J1450" s="364"/>
      <c r="K1450" s="363"/>
      <c r="L1450" s="363"/>
      <c r="M1450" s="737"/>
      <c r="N1450" s="332"/>
      <c r="O1450" s="332"/>
      <c r="P1450" s="332"/>
      <c r="Q1450" s="332"/>
      <c r="R1450" s="332"/>
      <c r="S1450" s="332"/>
      <c r="T1450" s="332"/>
    </row>
    <row r="1451" spans="1:20" x14ac:dyDescent="0.6">
      <c r="A1451" s="334"/>
      <c r="B1451" s="610"/>
      <c r="C1451" s="365"/>
      <c r="D1451" s="364"/>
      <c r="E1451" s="363"/>
      <c r="F1451" s="363"/>
      <c r="G1451" s="364"/>
      <c r="H1451" s="363"/>
      <c r="I1451" s="363"/>
      <c r="J1451" s="364"/>
      <c r="K1451" s="363"/>
      <c r="L1451" s="363"/>
      <c r="M1451" s="737"/>
      <c r="N1451" s="332"/>
      <c r="O1451" s="332"/>
      <c r="P1451" s="332"/>
      <c r="Q1451" s="332"/>
      <c r="R1451" s="332"/>
      <c r="S1451" s="332"/>
      <c r="T1451" s="332"/>
    </row>
    <row r="1452" spans="1:20" x14ac:dyDescent="0.6">
      <c r="A1452" s="334"/>
      <c r="B1452" s="610"/>
      <c r="C1452" s="365"/>
      <c r="D1452" s="364"/>
      <c r="E1452" s="363"/>
      <c r="F1452" s="363"/>
      <c r="G1452" s="364"/>
      <c r="H1452" s="363"/>
      <c r="I1452" s="363"/>
      <c r="J1452" s="364"/>
      <c r="K1452" s="363"/>
      <c r="L1452" s="363"/>
      <c r="M1452" s="737"/>
      <c r="N1452" s="332"/>
      <c r="O1452" s="332"/>
      <c r="P1452" s="332"/>
      <c r="Q1452" s="332"/>
      <c r="R1452" s="332"/>
      <c r="S1452" s="332"/>
      <c r="T1452" s="332"/>
    </row>
    <row r="1453" spans="1:20" x14ac:dyDescent="0.6">
      <c r="A1453" s="334"/>
      <c r="B1453" s="610"/>
      <c r="C1453" s="365"/>
      <c r="D1453" s="364"/>
      <c r="E1453" s="363"/>
      <c r="F1453" s="363"/>
      <c r="G1453" s="364"/>
      <c r="H1453" s="363"/>
      <c r="I1453" s="363"/>
      <c r="J1453" s="364"/>
      <c r="K1453" s="363"/>
      <c r="L1453" s="363"/>
      <c r="M1453" s="737"/>
      <c r="N1453" s="332"/>
      <c r="O1453" s="332"/>
      <c r="P1453" s="332"/>
      <c r="Q1453" s="332"/>
      <c r="R1453" s="332"/>
      <c r="S1453" s="332"/>
      <c r="T1453" s="332"/>
    </row>
    <row r="1454" spans="1:20" x14ac:dyDescent="0.6">
      <c r="A1454" s="334"/>
      <c r="B1454" s="610"/>
      <c r="C1454" s="365"/>
      <c r="D1454" s="364"/>
      <c r="E1454" s="363"/>
      <c r="F1454" s="363"/>
      <c r="G1454" s="364"/>
      <c r="H1454" s="363"/>
      <c r="I1454" s="363"/>
      <c r="J1454" s="364"/>
      <c r="K1454" s="363"/>
      <c r="L1454" s="363"/>
      <c r="M1454" s="737"/>
      <c r="N1454" s="332"/>
      <c r="O1454" s="332"/>
      <c r="P1454" s="332"/>
      <c r="Q1454" s="332"/>
      <c r="R1454" s="332"/>
      <c r="S1454" s="332"/>
      <c r="T1454" s="332"/>
    </row>
    <row r="1455" spans="1:20" x14ac:dyDescent="0.6">
      <c r="A1455" s="334"/>
      <c r="B1455" s="610"/>
      <c r="C1455" s="365"/>
      <c r="D1455" s="364"/>
      <c r="E1455" s="363"/>
      <c r="F1455" s="363"/>
      <c r="G1455" s="364"/>
      <c r="H1455" s="363"/>
      <c r="I1455" s="363"/>
      <c r="J1455" s="364"/>
      <c r="K1455" s="363"/>
      <c r="L1455" s="363"/>
      <c r="M1455" s="737"/>
      <c r="N1455" s="332"/>
      <c r="O1455" s="332"/>
      <c r="P1455" s="332"/>
      <c r="Q1455" s="332"/>
      <c r="R1455" s="332"/>
      <c r="S1455" s="332"/>
      <c r="T1455" s="332"/>
    </row>
    <row r="1456" spans="1:20" x14ac:dyDescent="0.6">
      <c r="A1456" s="334"/>
      <c r="B1456" s="610"/>
      <c r="C1456" s="365"/>
      <c r="D1456" s="364"/>
      <c r="E1456" s="363"/>
      <c r="F1456" s="363"/>
      <c r="G1456" s="364"/>
      <c r="H1456" s="363"/>
      <c r="I1456" s="363"/>
      <c r="J1456" s="364"/>
      <c r="K1456" s="363"/>
      <c r="L1456" s="363"/>
      <c r="M1456" s="737"/>
      <c r="N1456" s="332"/>
      <c r="O1456" s="332"/>
      <c r="P1456" s="332"/>
      <c r="Q1456" s="332"/>
      <c r="R1456" s="332"/>
      <c r="S1456" s="332"/>
      <c r="T1456" s="332"/>
    </row>
    <row r="1457" spans="1:20" x14ac:dyDescent="0.6">
      <c r="A1457" s="334"/>
      <c r="B1457" s="610"/>
      <c r="C1457" s="365"/>
      <c r="D1457" s="364"/>
      <c r="E1457" s="363"/>
      <c r="F1457" s="363"/>
      <c r="G1457" s="364"/>
      <c r="H1457" s="363"/>
      <c r="I1457" s="363"/>
      <c r="J1457" s="364"/>
      <c r="K1457" s="363"/>
      <c r="L1457" s="363"/>
      <c r="M1457" s="737"/>
      <c r="N1457" s="332"/>
      <c r="O1457" s="332"/>
      <c r="P1457" s="332"/>
      <c r="Q1457" s="332"/>
      <c r="R1457" s="332"/>
      <c r="S1457" s="332"/>
      <c r="T1457" s="332"/>
    </row>
    <row r="1458" spans="1:20" x14ac:dyDescent="0.6">
      <c r="A1458" s="334"/>
      <c r="B1458" s="610"/>
      <c r="C1458" s="365"/>
      <c r="D1458" s="364"/>
      <c r="E1458" s="363"/>
      <c r="F1458" s="363"/>
      <c r="G1458" s="364"/>
      <c r="H1458" s="363"/>
      <c r="I1458" s="363"/>
      <c r="J1458" s="364"/>
      <c r="K1458" s="363"/>
      <c r="L1458" s="363"/>
      <c r="M1458" s="737"/>
      <c r="N1458" s="332"/>
      <c r="O1458" s="332"/>
      <c r="P1458" s="332"/>
      <c r="Q1458" s="332"/>
      <c r="R1458" s="332"/>
      <c r="S1458" s="332"/>
      <c r="T1458" s="332"/>
    </row>
    <row r="1459" spans="1:20" x14ac:dyDescent="0.6">
      <c r="A1459" s="334"/>
      <c r="B1459" s="610"/>
      <c r="C1459" s="365"/>
      <c r="D1459" s="364"/>
      <c r="E1459" s="363"/>
      <c r="F1459" s="363"/>
      <c r="G1459" s="364"/>
      <c r="H1459" s="363"/>
      <c r="I1459" s="363"/>
      <c r="J1459" s="364"/>
      <c r="K1459" s="363"/>
      <c r="L1459" s="363"/>
      <c r="M1459" s="737"/>
      <c r="N1459" s="332"/>
      <c r="O1459" s="332"/>
      <c r="P1459" s="332"/>
      <c r="Q1459" s="332"/>
      <c r="R1459" s="332"/>
      <c r="S1459" s="332"/>
      <c r="T1459" s="332"/>
    </row>
    <row r="1460" spans="1:20" x14ac:dyDescent="0.6">
      <c r="A1460" s="334"/>
      <c r="B1460" s="610"/>
      <c r="C1460" s="365"/>
      <c r="D1460" s="364"/>
      <c r="E1460" s="363"/>
      <c r="F1460" s="363"/>
      <c r="G1460" s="364"/>
      <c r="H1460" s="363"/>
      <c r="I1460" s="363"/>
      <c r="J1460" s="364"/>
      <c r="K1460" s="363"/>
      <c r="L1460" s="363"/>
      <c r="M1460" s="737"/>
      <c r="N1460" s="332"/>
      <c r="O1460" s="332"/>
      <c r="P1460" s="332"/>
      <c r="Q1460" s="332"/>
      <c r="R1460" s="332"/>
      <c r="S1460" s="332"/>
      <c r="T1460" s="332"/>
    </row>
    <row r="1461" spans="1:20" x14ac:dyDescent="0.6">
      <c r="A1461" s="334"/>
      <c r="B1461" s="610"/>
      <c r="C1461" s="365"/>
      <c r="D1461" s="364"/>
      <c r="E1461" s="363"/>
      <c r="F1461" s="363"/>
      <c r="G1461" s="364"/>
      <c r="H1461" s="363"/>
      <c r="I1461" s="363"/>
      <c r="J1461" s="364"/>
      <c r="K1461" s="363"/>
      <c r="L1461" s="363"/>
      <c r="M1461" s="737"/>
      <c r="N1461" s="332"/>
      <c r="O1461" s="332"/>
      <c r="P1461" s="332"/>
      <c r="Q1461" s="332"/>
      <c r="R1461" s="332"/>
      <c r="S1461" s="332"/>
      <c r="T1461" s="332"/>
    </row>
    <row r="1462" spans="1:20" x14ac:dyDescent="0.6">
      <c r="A1462" s="334"/>
      <c r="B1462" s="610"/>
      <c r="C1462" s="365"/>
      <c r="D1462" s="364"/>
      <c r="E1462" s="363"/>
      <c r="F1462" s="363"/>
      <c r="G1462" s="364"/>
      <c r="H1462" s="363"/>
      <c r="I1462" s="363"/>
      <c r="J1462" s="364"/>
      <c r="K1462" s="363"/>
      <c r="L1462" s="363"/>
      <c r="M1462" s="737"/>
      <c r="N1462" s="332"/>
      <c r="O1462" s="332"/>
      <c r="P1462" s="332"/>
      <c r="Q1462" s="332"/>
      <c r="R1462" s="332"/>
      <c r="S1462" s="332"/>
      <c r="T1462" s="332"/>
    </row>
    <row r="1463" spans="1:20" x14ac:dyDescent="0.6">
      <c r="A1463" s="334"/>
      <c r="B1463" s="610"/>
      <c r="C1463" s="365"/>
      <c r="D1463" s="364"/>
      <c r="E1463" s="363"/>
      <c r="F1463" s="363"/>
      <c r="G1463" s="364"/>
      <c r="H1463" s="363"/>
      <c r="I1463" s="363"/>
      <c r="J1463" s="364"/>
      <c r="K1463" s="363"/>
      <c r="L1463" s="363"/>
      <c r="M1463" s="737"/>
      <c r="N1463" s="332"/>
      <c r="O1463" s="332"/>
      <c r="P1463" s="332"/>
      <c r="Q1463" s="332"/>
      <c r="R1463" s="332"/>
      <c r="S1463" s="332"/>
      <c r="T1463" s="332"/>
    </row>
    <row r="1464" spans="1:20" x14ac:dyDescent="0.6">
      <c r="A1464" s="334"/>
      <c r="B1464" s="610"/>
      <c r="C1464" s="365"/>
      <c r="D1464" s="364"/>
      <c r="E1464" s="363"/>
      <c r="F1464" s="363"/>
      <c r="G1464" s="364"/>
      <c r="H1464" s="363"/>
      <c r="I1464" s="363"/>
      <c r="J1464" s="364"/>
      <c r="K1464" s="363"/>
      <c r="L1464" s="363"/>
      <c r="M1464" s="737"/>
      <c r="N1464" s="332"/>
      <c r="O1464" s="332"/>
      <c r="P1464" s="332"/>
      <c r="Q1464" s="332"/>
      <c r="R1464" s="332"/>
      <c r="S1464" s="332"/>
      <c r="T1464" s="332"/>
    </row>
    <row r="1465" spans="1:20" x14ac:dyDescent="0.6">
      <c r="A1465" s="334"/>
      <c r="B1465" s="610"/>
      <c r="C1465" s="365"/>
      <c r="D1465" s="364"/>
      <c r="E1465" s="363"/>
      <c r="F1465" s="363"/>
      <c r="G1465" s="364"/>
      <c r="H1465" s="363"/>
      <c r="I1465" s="363"/>
      <c r="J1465" s="364"/>
      <c r="K1465" s="363"/>
      <c r="L1465" s="363"/>
      <c r="M1465" s="737"/>
      <c r="N1465" s="332"/>
      <c r="O1465" s="332"/>
      <c r="P1465" s="332"/>
      <c r="Q1465" s="332"/>
      <c r="R1465" s="332"/>
      <c r="S1465" s="332"/>
      <c r="T1465" s="332"/>
    </row>
    <row r="1466" spans="1:20" x14ac:dyDescent="0.6">
      <c r="A1466" s="334"/>
      <c r="B1466" s="610"/>
      <c r="C1466" s="365"/>
      <c r="D1466" s="364"/>
      <c r="E1466" s="363"/>
      <c r="F1466" s="363"/>
      <c r="G1466" s="364"/>
      <c r="H1466" s="363"/>
      <c r="I1466" s="363"/>
      <c r="J1466" s="364"/>
      <c r="K1466" s="363"/>
      <c r="L1466" s="363"/>
      <c r="M1466" s="737"/>
      <c r="N1466" s="332"/>
      <c r="O1466" s="332"/>
      <c r="P1466" s="332"/>
      <c r="Q1466" s="332"/>
      <c r="R1466" s="332"/>
      <c r="S1466" s="332"/>
      <c r="T1466" s="332"/>
    </row>
    <row r="1467" spans="1:20" x14ac:dyDescent="0.6">
      <c r="A1467" s="334"/>
      <c r="B1467" s="610"/>
      <c r="C1467" s="365"/>
      <c r="D1467" s="364"/>
      <c r="E1467" s="363"/>
      <c r="F1467" s="363"/>
      <c r="G1467" s="364"/>
      <c r="H1467" s="363"/>
      <c r="I1467" s="363"/>
      <c r="J1467" s="364"/>
      <c r="K1467" s="363"/>
      <c r="L1467" s="363"/>
      <c r="M1467" s="737"/>
      <c r="N1467" s="332"/>
      <c r="O1467" s="332"/>
      <c r="P1467" s="332"/>
      <c r="Q1467" s="332"/>
      <c r="R1467" s="332"/>
      <c r="S1467" s="332"/>
      <c r="T1467" s="332"/>
    </row>
    <row r="1468" spans="1:20" x14ac:dyDescent="0.6">
      <c r="A1468" s="334"/>
      <c r="B1468" s="610"/>
      <c r="C1468" s="365"/>
      <c r="D1468" s="364"/>
      <c r="E1468" s="363"/>
      <c r="F1468" s="363"/>
      <c r="G1468" s="364"/>
      <c r="H1468" s="363"/>
      <c r="I1468" s="363"/>
      <c r="J1468" s="364"/>
      <c r="K1468" s="363"/>
      <c r="L1468" s="363"/>
      <c r="M1468" s="737"/>
      <c r="N1468" s="332"/>
      <c r="O1468" s="332"/>
      <c r="P1468" s="332"/>
      <c r="Q1468" s="332"/>
      <c r="R1468" s="332"/>
      <c r="S1468" s="332"/>
      <c r="T1468" s="332"/>
    </row>
    <row r="1469" spans="1:20" x14ac:dyDescent="0.6">
      <c r="A1469" s="334"/>
      <c r="B1469" s="610"/>
      <c r="C1469" s="365"/>
      <c r="D1469" s="364"/>
      <c r="E1469" s="363"/>
      <c r="F1469" s="363"/>
      <c r="G1469" s="364"/>
      <c r="H1469" s="363"/>
      <c r="I1469" s="363"/>
      <c r="J1469" s="364"/>
      <c r="K1469" s="363"/>
      <c r="L1469" s="363"/>
      <c r="M1469" s="737"/>
      <c r="N1469" s="332"/>
      <c r="O1469" s="332"/>
      <c r="P1469" s="332"/>
      <c r="Q1469" s="332"/>
      <c r="R1469" s="332"/>
      <c r="S1469" s="332"/>
      <c r="T1469" s="332"/>
    </row>
    <row r="1470" spans="1:20" x14ac:dyDescent="0.6">
      <c r="A1470" s="334"/>
      <c r="B1470" s="610"/>
      <c r="C1470" s="365"/>
      <c r="D1470" s="364"/>
      <c r="E1470" s="363"/>
      <c r="F1470" s="363"/>
      <c r="G1470" s="364"/>
      <c r="H1470" s="363"/>
      <c r="I1470" s="363"/>
      <c r="J1470" s="364"/>
      <c r="K1470" s="363"/>
      <c r="L1470" s="363"/>
      <c r="M1470" s="737"/>
      <c r="N1470" s="332"/>
      <c r="O1470" s="332"/>
      <c r="P1470" s="332"/>
      <c r="Q1470" s="332"/>
      <c r="R1470" s="332"/>
      <c r="S1470" s="332"/>
      <c r="T1470" s="332"/>
    </row>
    <row r="1471" spans="1:20" x14ac:dyDescent="0.6">
      <c r="A1471" s="334"/>
      <c r="B1471" s="610"/>
      <c r="C1471" s="365"/>
      <c r="D1471" s="364"/>
      <c r="E1471" s="363"/>
      <c r="F1471" s="363"/>
      <c r="G1471" s="364"/>
      <c r="H1471" s="363"/>
      <c r="I1471" s="363"/>
      <c r="J1471" s="364"/>
      <c r="K1471" s="363"/>
      <c r="L1471" s="363"/>
      <c r="M1471" s="737"/>
      <c r="N1471" s="332"/>
      <c r="O1471" s="332"/>
      <c r="P1471" s="332"/>
      <c r="Q1471" s="332"/>
      <c r="R1471" s="332"/>
      <c r="S1471" s="332"/>
      <c r="T1471" s="332"/>
    </row>
    <row r="1472" spans="1:20" x14ac:dyDescent="0.6">
      <c r="A1472" s="334"/>
      <c r="B1472" s="610"/>
      <c r="C1472" s="365"/>
      <c r="D1472" s="364"/>
      <c r="E1472" s="363"/>
      <c r="F1472" s="363"/>
      <c r="G1472" s="364"/>
      <c r="H1472" s="363"/>
      <c r="I1472" s="363"/>
      <c r="J1472" s="364"/>
      <c r="K1472" s="363"/>
      <c r="L1472" s="363"/>
      <c r="M1472" s="737"/>
      <c r="N1472" s="332"/>
      <c r="O1472" s="332"/>
      <c r="P1472" s="332"/>
      <c r="Q1472" s="332"/>
      <c r="R1472" s="332"/>
      <c r="S1472" s="332"/>
      <c r="T1472" s="332"/>
    </row>
    <row r="1473" spans="1:20" x14ac:dyDescent="0.6">
      <c r="A1473" s="334"/>
      <c r="B1473" s="610"/>
      <c r="C1473" s="365"/>
      <c r="D1473" s="364"/>
      <c r="E1473" s="363"/>
      <c r="F1473" s="363"/>
      <c r="G1473" s="364"/>
      <c r="H1473" s="363"/>
      <c r="I1473" s="363"/>
      <c r="J1473" s="364"/>
      <c r="K1473" s="363"/>
      <c r="L1473" s="363"/>
      <c r="M1473" s="737"/>
      <c r="N1473" s="332"/>
      <c r="O1473" s="332"/>
      <c r="P1473" s="332"/>
      <c r="Q1473" s="332"/>
      <c r="R1473" s="332"/>
      <c r="S1473" s="332"/>
      <c r="T1473" s="332"/>
    </row>
    <row r="1474" spans="1:20" x14ac:dyDescent="0.6">
      <c r="A1474" s="334"/>
      <c r="B1474" s="610"/>
      <c r="C1474" s="365"/>
      <c r="D1474" s="364"/>
      <c r="E1474" s="363"/>
      <c r="F1474" s="363"/>
      <c r="G1474" s="364"/>
      <c r="H1474" s="363"/>
      <c r="I1474" s="363"/>
      <c r="J1474" s="364"/>
      <c r="K1474" s="363"/>
      <c r="L1474" s="363"/>
      <c r="M1474" s="737"/>
      <c r="N1474" s="332"/>
      <c r="O1474" s="332"/>
      <c r="P1474" s="332"/>
      <c r="Q1474" s="332"/>
      <c r="R1474" s="332"/>
      <c r="S1474" s="332"/>
      <c r="T1474" s="332"/>
    </row>
    <row r="1475" spans="1:20" x14ac:dyDescent="0.6">
      <c r="A1475" s="334"/>
      <c r="B1475" s="610"/>
      <c r="C1475" s="365"/>
      <c r="D1475" s="364"/>
      <c r="E1475" s="363"/>
      <c r="F1475" s="363"/>
      <c r="G1475" s="364"/>
      <c r="H1475" s="363"/>
      <c r="I1475" s="363"/>
      <c r="J1475" s="364"/>
      <c r="K1475" s="363"/>
      <c r="L1475" s="363"/>
      <c r="M1475" s="737"/>
      <c r="N1475" s="332"/>
      <c r="O1475" s="332"/>
      <c r="P1475" s="332"/>
      <c r="Q1475" s="332"/>
      <c r="R1475" s="332"/>
      <c r="S1475" s="332"/>
      <c r="T1475" s="332"/>
    </row>
    <row r="1476" spans="1:20" x14ac:dyDescent="0.6">
      <c r="A1476" s="334"/>
      <c r="B1476" s="610"/>
      <c r="C1476" s="365"/>
      <c r="D1476" s="364"/>
      <c r="E1476" s="363"/>
      <c r="F1476" s="363"/>
      <c r="G1476" s="364"/>
      <c r="H1476" s="363"/>
      <c r="I1476" s="363"/>
      <c r="J1476" s="364"/>
      <c r="K1476" s="363"/>
      <c r="L1476" s="363"/>
      <c r="M1476" s="737"/>
      <c r="N1476" s="332"/>
      <c r="O1476" s="332"/>
      <c r="P1476" s="332"/>
      <c r="Q1476" s="332"/>
      <c r="R1476" s="332"/>
      <c r="S1476" s="332"/>
      <c r="T1476" s="332"/>
    </row>
    <row r="1477" spans="1:20" x14ac:dyDescent="0.6">
      <c r="A1477" s="334"/>
      <c r="B1477" s="610"/>
      <c r="C1477" s="365"/>
      <c r="D1477" s="364"/>
      <c r="E1477" s="363"/>
      <c r="F1477" s="363"/>
      <c r="G1477" s="364"/>
      <c r="H1477" s="363"/>
      <c r="I1477" s="363"/>
      <c r="J1477" s="364"/>
      <c r="K1477" s="363"/>
      <c r="L1477" s="363"/>
      <c r="M1477" s="737"/>
      <c r="N1477" s="332"/>
      <c r="O1477" s="332"/>
      <c r="P1477" s="332"/>
      <c r="Q1477" s="332"/>
      <c r="R1477" s="332"/>
      <c r="S1477" s="332"/>
      <c r="T1477" s="332"/>
    </row>
    <row r="1478" spans="1:20" x14ac:dyDescent="0.6">
      <c r="A1478" s="334"/>
      <c r="B1478" s="610"/>
      <c r="C1478" s="365"/>
      <c r="D1478" s="364"/>
      <c r="E1478" s="363"/>
      <c r="F1478" s="363"/>
      <c r="G1478" s="364"/>
      <c r="H1478" s="363"/>
      <c r="I1478" s="363"/>
      <c r="J1478" s="364"/>
      <c r="K1478" s="363"/>
      <c r="L1478" s="363"/>
      <c r="M1478" s="737"/>
      <c r="N1478" s="332"/>
      <c r="O1478" s="332"/>
      <c r="P1478" s="332"/>
      <c r="Q1478" s="332"/>
      <c r="R1478" s="332"/>
      <c r="S1478" s="332"/>
      <c r="T1478" s="332"/>
    </row>
    <row r="1479" spans="1:20" x14ac:dyDescent="0.6">
      <c r="A1479" s="334"/>
      <c r="B1479" s="610"/>
      <c r="C1479" s="365"/>
      <c r="D1479" s="364"/>
      <c r="E1479" s="363"/>
      <c r="F1479" s="363"/>
      <c r="G1479" s="364"/>
      <c r="H1479" s="363"/>
      <c r="I1479" s="363"/>
      <c r="J1479" s="364"/>
      <c r="K1479" s="363"/>
      <c r="L1479" s="363"/>
      <c r="M1479" s="737"/>
      <c r="N1479" s="332"/>
      <c r="O1479" s="332"/>
      <c r="P1479" s="332"/>
      <c r="Q1479" s="332"/>
      <c r="R1479" s="332"/>
      <c r="S1479" s="332"/>
      <c r="T1479" s="332"/>
    </row>
    <row r="1480" spans="1:20" x14ac:dyDescent="0.6">
      <c r="A1480" s="334"/>
      <c r="B1480" s="610"/>
      <c r="C1480" s="365"/>
      <c r="D1480" s="364"/>
      <c r="E1480" s="363"/>
      <c r="F1480" s="363"/>
      <c r="G1480" s="364"/>
      <c r="H1480" s="363"/>
      <c r="I1480" s="363"/>
      <c r="J1480" s="364"/>
      <c r="K1480" s="363"/>
      <c r="L1480" s="363"/>
      <c r="M1480" s="737"/>
      <c r="N1480" s="332"/>
      <c r="O1480" s="332"/>
      <c r="P1480" s="332"/>
      <c r="Q1480" s="332"/>
      <c r="R1480" s="332"/>
      <c r="S1480" s="332"/>
      <c r="T1480" s="332"/>
    </row>
    <row r="1481" spans="1:20" x14ac:dyDescent="0.6">
      <c r="A1481" s="334"/>
      <c r="B1481" s="610"/>
      <c r="C1481" s="365"/>
      <c r="D1481" s="364"/>
      <c r="E1481" s="363"/>
      <c r="F1481" s="363"/>
      <c r="G1481" s="364"/>
      <c r="H1481" s="363"/>
      <c r="I1481" s="363"/>
      <c r="J1481" s="364"/>
      <c r="K1481" s="363"/>
      <c r="L1481" s="363"/>
      <c r="M1481" s="737"/>
      <c r="N1481" s="332"/>
      <c r="O1481" s="332"/>
      <c r="P1481" s="332"/>
      <c r="Q1481" s="332"/>
      <c r="R1481" s="332"/>
      <c r="S1481" s="332"/>
      <c r="T1481" s="332"/>
    </row>
    <row r="1482" spans="1:20" x14ac:dyDescent="0.6">
      <c r="A1482" s="334"/>
      <c r="B1482" s="610"/>
      <c r="C1482" s="365"/>
      <c r="D1482" s="364"/>
      <c r="E1482" s="363"/>
      <c r="F1482" s="363"/>
      <c r="G1482" s="364"/>
      <c r="H1482" s="363"/>
      <c r="I1482" s="363"/>
      <c r="J1482" s="364"/>
      <c r="K1482" s="363"/>
      <c r="L1482" s="363"/>
      <c r="M1482" s="737"/>
      <c r="N1482" s="332"/>
      <c r="O1482" s="332"/>
      <c r="P1482" s="332"/>
      <c r="Q1482" s="332"/>
      <c r="R1482" s="332"/>
      <c r="S1482" s="332"/>
      <c r="T1482" s="332"/>
    </row>
    <row r="1483" spans="1:20" x14ac:dyDescent="0.6">
      <c r="A1483" s="334"/>
      <c r="B1483" s="610"/>
      <c r="C1483" s="365"/>
      <c r="D1483" s="364"/>
      <c r="E1483" s="363"/>
      <c r="F1483" s="363"/>
      <c r="G1483" s="364"/>
      <c r="H1483" s="363"/>
      <c r="I1483" s="363"/>
      <c r="J1483" s="364"/>
      <c r="K1483" s="363"/>
      <c r="L1483" s="363"/>
      <c r="M1483" s="737"/>
      <c r="N1483" s="332"/>
      <c r="O1483" s="332"/>
      <c r="P1483" s="332"/>
      <c r="Q1483" s="332"/>
      <c r="R1483" s="332"/>
      <c r="S1483" s="332"/>
      <c r="T1483" s="332"/>
    </row>
    <row r="1484" spans="1:20" x14ac:dyDescent="0.6">
      <c r="A1484" s="334"/>
      <c r="B1484" s="610"/>
      <c r="C1484" s="365"/>
      <c r="D1484" s="364"/>
      <c r="E1484" s="363"/>
      <c r="F1484" s="363"/>
      <c r="G1484" s="364"/>
      <c r="H1484" s="363"/>
      <c r="I1484" s="363"/>
      <c r="J1484" s="364"/>
      <c r="K1484" s="363"/>
      <c r="L1484" s="363"/>
      <c r="M1484" s="737"/>
      <c r="N1484" s="332"/>
      <c r="O1484" s="332"/>
      <c r="P1484" s="332"/>
      <c r="Q1484" s="332"/>
      <c r="R1484" s="332"/>
      <c r="S1484" s="332"/>
      <c r="T1484" s="332"/>
    </row>
    <row r="1485" spans="1:20" x14ac:dyDescent="0.6">
      <c r="A1485" s="334"/>
      <c r="B1485" s="610"/>
      <c r="C1485" s="365"/>
      <c r="D1485" s="364"/>
      <c r="E1485" s="363"/>
      <c r="F1485" s="363"/>
      <c r="G1485" s="364"/>
      <c r="H1485" s="363"/>
      <c r="I1485" s="363"/>
      <c r="J1485" s="364"/>
      <c r="K1485" s="363"/>
      <c r="L1485" s="363"/>
      <c r="M1485" s="737"/>
      <c r="N1485" s="332"/>
      <c r="O1485" s="332"/>
      <c r="P1485" s="332"/>
      <c r="Q1485" s="332"/>
      <c r="R1485" s="332"/>
      <c r="S1485" s="332"/>
      <c r="T1485" s="332"/>
    </row>
    <row r="1486" spans="1:20" x14ac:dyDescent="0.6">
      <c r="A1486" s="334"/>
      <c r="B1486" s="610"/>
      <c r="C1486" s="365"/>
      <c r="D1486" s="364"/>
      <c r="E1486" s="363"/>
      <c r="F1486" s="363"/>
      <c r="G1486" s="364"/>
      <c r="H1486" s="363"/>
      <c r="I1486" s="363"/>
      <c r="J1486" s="364"/>
      <c r="K1486" s="363"/>
      <c r="L1486" s="363"/>
      <c r="M1486" s="737"/>
      <c r="N1486" s="332"/>
      <c r="O1486" s="332"/>
      <c r="P1486" s="332"/>
      <c r="Q1486" s="332"/>
      <c r="R1486" s="332"/>
      <c r="S1486" s="332"/>
      <c r="T1486" s="332"/>
    </row>
    <row r="1487" spans="1:20" x14ac:dyDescent="0.6">
      <c r="A1487" s="334"/>
      <c r="B1487" s="610"/>
      <c r="C1487" s="365"/>
      <c r="D1487" s="364"/>
      <c r="E1487" s="363"/>
      <c r="F1487" s="363"/>
      <c r="G1487" s="364"/>
      <c r="H1487" s="363"/>
      <c r="I1487" s="363"/>
      <c r="J1487" s="364"/>
      <c r="K1487" s="363"/>
      <c r="L1487" s="363"/>
      <c r="M1487" s="737"/>
      <c r="N1487" s="332"/>
      <c r="O1487" s="332"/>
      <c r="P1487" s="332"/>
      <c r="Q1487" s="332"/>
      <c r="R1487" s="332"/>
      <c r="S1487" s="332"/>
      <c r="T1487" s="332"/>
    </row>
    <row r="1488" spans="1:20" x14ac:dyDescent="0.6">
      <c r="A1488" s="334"/>
      <c r="B1488" s="610"/>
      <c r="C1488" s="365"/>
      <c r="D1488" s="364"/>
      <c r="E1488" s="363"/>
      <c r="F1488" s="363"/>
      <c r="G1488" s="364"/>
      <c r="H1488" s="363"/>
      <c r="I1488" s="363"/>
      <c r="J1488" s="364"/>
      <c r="K1488" s="363"/>
      <c r="L1488" s="363"/>
      <c r="M1488" s="737"/>
      <c r="N1488" s="332"/>
      <c r="O1488" s="332"/>
      <c r="P1488" s="332"/>
      <c r="Q1488" s="332"/>
      <c r="R1488" s="332"/>
      <c r="S1488" s="332"/>
      <c r="T1488" s="332"/>
    </row>
    <row r="1489" spans="1:20" x14ac:dyDescent="0.6">
      <c r="A1489" s="334"/>
      <c r="B1489" s="610"/>
      <c r="C1489" s="365"/>
      <c r="D1489" s="364"/>
      <c r="E1489" s="363"/>
      <c r="F1489" s="363"/>
      <c r="G1489" s="364"/>
      <c r="H1489" s="363"/>
      <c r="I1489" s="363"/>
      <c r="J1489" s="364"/>
      <c r="K1489" s="363"/>
      <c r="L1489" s="363"/>
      <c r="M1489" s="737"/>
      <c r="N1489" s="332"/>
      <c r="O1489" s="332"/>
      <c r="P1489" s="332"/>
      <c r="Q1489" s="332"/>
      <c r="R1489" s="332"/>
      <c r="S1489" s="332"/>
      <c r="T1489" s="332"/>
    </row>
    <row r="1490" spans="1:20" x14ac:dyDescent="0.6">
      <c r="A1490" s="334"/>
      <c r="B1490" s="610"/>
      <c r="C1490" s="365"/>
      <c r="D1490" s="364"/>
      <c r="E1490" s="363"/>
      <c r="F1490" s="363"/>
      <c r="G1490" s="364"/>
      <c r="H1490" s="363"/>
      <c r="I1490" s="363"/>
      <c r="J1490" s="364"/>
      <c r="K1490" s="363"/>
      <c r="L1490" s="363"/>
      <c r="M1490" s="737"/>
      <c r="N1490" s="332"/>
      <c r="O1490" s="332"/>
      <c r="P1490" s="332"/>
      <c r="Q1490" s="332"/>
      <c r="R1490" s="332"/>
      <c r="S1490" s="332"/>
      <c r="T1490" s="332"/>
    </row>
    <row r="1491" spans="1:20" x14ac:dyDescent="0.6">
      <c r="A1491" s="334"/>
      <c r="B1491" s="610"/>
      <c r="C1491" s="365"/>
      <c r="D1491" s="364"/>
      <c r="E1491" s="363"/>
      <c r="F1491" s="363"/>
      <c r="G1491" s="364"/>
      <c r="H1491" s="363"/>
      <c r="I1491" s="363"/>
      <c r="J1491" s="364"/>
      <c r="K1491" s="363"/>
      <c r="L1491" s="363"/>
      <c r="M1491" s="737"/>
      <c r="N1491" s="332"/>
      <c r="O1491" s="332"/>
      <c r="P1491" s="332"/>
      <c r="Q1491" s="332"/>
      <c r="R1491" s="332"/>
      <c r="S1491" s="332"/>
      <c r="T1491" s="332"/>
    </row>
    <row r="1492" spans="1:20" x14ac:dyDescent="0.6">
      <c r="A1492" s="334"/>
      <c r="B1492" s="610"/>
      <c r="C1492" s="365"/>
      <c r="D1492" s="364"/>
      <c r="E1492" s="363"/>
      <c r="F1492" s="363"/>
      <c r="G1492" s="364"/>
      <c r="H1492" s="363"/>
      <c r="I1492" s="363"/>
      <c r="J1492" s="364"/>
      <c r="K1492" s="363"/>
      <c r="L1492" s="363"/>
      <c r="M1492" s="737"/>
      <c r="N1492" s="332"/>
      <c r="O1492" s="332"/>
      <c r="P1492" s="332"/>
      <c r="Q1492" s="332"/>
      <c r="R1492" s="332"/>
      <c r="S1492" s="332"/>
      <c r="T1492" s="332"/>
    </row>
    <row r="1493" spans="1:20" x14ac:dyDescent="0.6">
      <c r="A1493" s="334"/>
      <c r="B1493" s="610"/>
      <c r="C1493" s="365"/>
      <c r="D1493" s="364"/>
      <c r="E1493" s="363"/>
      <c r="F1493" s="363"/>
      <c r="G1493" s="364"/>
      <c r="H1493" s="363"/>
      <c r="I1493" s="363"/>
      <c r="J1493" s="364"/>
      <c r="K1493" s="363"/>
      <c r="L1493" s="363"/>
      <c r="M1493" s="737"/>
      <c r="N1493" s="332"/>
      <c r="O1493" s="332"/>
      <c r="P1493" s="332"/>
      <c r="Q1493" s="332"/>
      <c r="R1493" s="332"/>
      <c r="S1493" s="332"/>
      <c r="T1493" s="332"/>
    </row>
    <row r="1494" spans="1:20" x14ac:dyDescent="0.6">
      <c r="A1494" s="334"/>
      <c r="B1494" s="610"/>
      <c r="C1494" s="365"/>
      <c r="D1494" s="364"/>
      <c r="E1494" s="363"/>
      <c r="F1494" s="363"/>
      <c r="G1494" s="364"/>
      <c r="H1494" s="363"/>
      <c r="I1494" s="363"/>
      <c r="J1494" s="364"/>
      <c r="K1494" s="363"/>
      <c r="L1494" s="363"/>
      <c r="M1494" s="737"/>
      <c r="N1494" s="332"/>
      <c r="O1494" s="332"/>
      <c r="P1494" s="332"/>
      <c r="Q1494" s="332"/>
      <c r="R1494" s="332"/>
      <c r="S1494" s="332"/>
      <c r="T1494" s="332"/>
    </row>
    <row r="1495" spans="1:20" x14ac:dyDescent="0.6">
      <c r="A1495" s="334"/>
      <c r="B1495" s="610"/>
      <c r="C1495" s="365"/>
      <c r="D1495" s="364"/>
      <c r="E1495" s="363"/>
      <c r="F1495" s="363"/>
      <c r="G1495" s="364"/>
      <c r="H1495" s="363"/>
      <c r="I1495" s="363"/>
      <c r="J1495" s="364"/>
      <c r="K1495" s="363"/>
      <c r="L1495" s="363"/>
      <c r="M1495" s="737"/>
      <c r="N1495" s="332"/>
      <c r="O1495" s="332"/>
      <c r="P1495" s="332"/>
      <c r="Q1495" s="332"/>
      <c r="R1495" s="332"/>
      <c r="S1495" s="332"/>
      <c r="T1495" s="332"/>
    </row>
    <row r="1496" spans="1:20" x14ac:dyDescent="0.6">
      <c r="A1496" s="334"/>
      <c r="B1496" s="610"/>
      <c r="C1496" s="365"/>
      <c r="D1496" s="364"/>
      <c r="E1496" s="363"/>
      <c r="F1496" s="363"/>
      <c r="G1496" s="364"/>
      <c r="H1496" s="363"/>
      <c r="I1496" s="363"/>
      <c r="J1496" s="364"/>
      <c r="K1496" s="363"/>
      <c r="L1496" s="363"/>
      <c r="M1496" s="737"/>
      <c r="N1496" s="332"/>
      <c r="O1496" s="332"/>
      <c r="P1496" s="332"/>
      <c r="Q1496" s="332"/>
      <c r="R1496" s="332"/>
      <c r="S1496" s="332"/>
      <c r="T1496" s="332"/>
    </row>
    <row r="1497" spans="1:20" x14ac:dyDescent="0.6">
      <c r="A1497" s="334"/>
      <c r="B1497" s="610"/>
      <c r="C1497" s="365"/>
      <c r="D1497" s="364"/>
      <c r="E1497" s="363"/>
      <c r="F1497" s="363"/>
      <c r="G1497" s="364"/>
      <c r="H1497" s="363"/>
      <c r="I1497" s="363"/>
      <c r="J1497" s="364"/>
      <c r="K1497" s="363"/>
      <c r="L1497" s="363"/>
      <c r="M1497" s="737"/>
      <c r="N1497" s="332"/>
      <c r="O1497" s="332"/>
      <c r="P1497" s="332"/>
      <c r="Q1497" s="332"/>
      <c r="R1497" s="332"/>
      <c r="S1497" s="332"/>
      <c r="T1497" s="332"/>
    </row>
    <row r="1498" spans="1:20" x14ac:dyDescent="0.6">
      <c r="A1498" s="334"/>
      <c r="B1498" s="610"/>
      <c r="C1498" s="365"/>
      <c r="D1498" s="364"/>
      <c r="E1498" s="363"/>
      <c r="F1498" s="363"/>
      <c r="G1498" s="364"/>
      <c r="H1498" s="363"/>
      <c r="I1498" s="363"/>
      <c r="J1498" s="364"/>
      <c r="K1498" s="363"/>
      <c r="L1498" s="363"/>
      <c r="M1498" s="737"/>
      <c r="N1498" s="332"/>
      <c r="O1498" s="332"/>
      <c r="P1498" s="332"/>
      <c r="Q1498" s="332"/>
      <c r="R1498" s="332"/>
      <c r="S1498" s="332"/>
      <c r="T1498" s="332"/>
    </row>
    <row r="1499" spans="1:20" x14ac:dyDescent="0.6">
      <c r="A1499" s="334"/>
      <c r="B1499" s="610"/>
      <c r="C1499" s="365"/>
      <c r="D1499" s="364"/>
      <c r="E1499" s="363"/>
      <c r="F1499" s="363"/>
      <c r="G1499" s="364"/>
      <c r="H1499" s="363"/>
      <c r="I1499" s="363"/>
      <c r="J1499" s="364"/>
      <c r="K1499" s="363"/>
      <c r="L1499" s="363"/>
      <c r="M1499" s="737"/>
      <c r="N1499" s="332"/>
      <c r="O1499" s="332"/>
      <c r="P1499" s="332"/>
      <c r="Q1499" s="332"/>
      <c r="R1499" s="332"/>
      <c r="S1499" s="332"/>
      <c r="T1499" s="332"/>
    </row>
    <row r="1500" spans="1:20" x14ac:dyDescent="0.6">
      <c r="A1500" s="334"/>
      <c r="B1500" s="610"/>
      <c r="C1500" s="365"/>
      <c r="D1500" s="364"/>
      <c r="E1500" s="363"/>
      <c r="F1500" s="363"/>
      <c r="G1500" s="364"/>
      <c r="H1500" s="363"/>
      <c r="I1500" s="363"/>
      <c r="J1500" s="364"/>
      <c r="K1500" s="363"/>
      <c r="L1500" s="363"/>
      <c r="M1500" s="737"/>
      <c r="N1500" s="332"/>
      <c r="O1500" s="332"/>
      <c r="P1500" s="332"/>
      <c r="Q1500" s="332"/>
      <c r="R1500" s="332"/>
      <c r="S1500" s="332"/>
      <c r="T1500" s="332"/>
    </row>
    <row r="1501" spans="1:20" x14ac:dyDescent="0.6">
      <c r="A1501" s="334"/>
      <c r="B1501" s="610"/>
      <c r="C1501" s="365"/>
      <c r="D1501" s="364"/>
      <c r="E1501" s="363"/>
      <c r="F1501" s="363"/>
      <c r="G1501" s="364"/>
      <c r="H1501" s="363"/>
      <c r="I1501" s="363"/>
      <c r="J1501" s="364"/>
      <c r="K1501" s="363"/>
      <c r="L1501" s="363"/>
      <c r="M1501" s="737"/>
      <c r="N1501" s="332"/>
      <c r="O1501" s="332"/>
      <c r="P1501" s="332"/>
      <c r="Q1501" s="332"/>
      <c r="R1501" s="332"/>
      <c r="S1501" s="332"/>
      <c r="T1501" s="332"/>
    </row>
    <row r="1502" spans="1:20" x14ac:dyDescent="0.6">
      <c r="A1502" s="334"/>
      <c r="B1502" s="610"/>
      <c r="C1502" s="365"/>
      <c r="D1502" s="364"/>
      <c r="E1502" s="363"/>
      <c r="F1502" s="363"/>
      <c r="G1502" s="364"/>
      <c r="H1502" s="363"/>
      <c r="I1502" s="363"/>
      <c r="J1502" s="364"/>
      <c r="K1502" s="363"/>
      <c r="L1502" s="363"/>
      <c r="M1502" s="737"/>
      <c r="N1502" s="332"/>
      <c r="O1502" s="332"/>
      <c r="P1502" s="332"/>
      <c r="Q1502" s="332"/>
      <c r="R1502" s="332"/>
      <c r="S1502" s="332"/>
      <c r="T1502" s="332"/>
    </row>
    <row r="1503" spans="1:20" x14ac:dyDescent="0.6">
      <c r="A1503" s="334"/>
      <c r="B1503" s="610"/>
      <c r="C1503" s="365"/>
      <c r="D1503" s="364"/>
      <c r="E1503" s="363"/>
      <c r="F1503" s="363"/>
      <c r="G1503" s="364"/>
      <c r="H1503" s="363"/>
      <c r="I1503" s="363"/>
      <c r="J1503" s="364"/>
      <c r="K1503" s="363"/>
      <c r="L1503" s="363"/>
      <c r="M1503" s="737"/>
      <c r="N1503" s="332"/>
      <c r="O1503" s="332"/>
      <c r="P1503" s="332"/>
      <c r="Q1503" s="332"/>
      <c r="R1503" s="332"/>
      <c r="S1503" s="332"/>
      <c r="T1503" s="332"/>
    </row>
    <row r="1504" spans="1:20" x14ac:dyDescent="0.6">
      <c r="A1504" s="334"/>
      <c r="B1504" s="610"/>
      <c r="C1504" s="365"/>
      <c r="D1504" s="364"/>
      <c r="E1504" s="363"/>
      <c r="F1504" s="363"/>
      <c r="G1504" s="364"/>
      <c r="H1504" s="363"/>
      <c r="I1504" s="363"/>
      <c r="J1504" s="364"/>
      <c r="K1504" s="363"/>
      <c r="L1504" s="363"/>
      <c r="M1504" s="737"/>
      <c r="N1504" s="332"/>
      <c r="O1504" s="332"/>
      <c r="P1504" s="332"/>
      <c r="Q1504" s="332"/>
      <c r="R1504" s="332"/>
      <c r="S1504" s="332"/>
      <c r="T1504" s="332"/>
    </row>
    <row r="1505" spans="1:20" x14ac:dyDescent="0.6">
      <c r="A1505" s="334"/>
      <c r="B1505" s="610"/>
      <c r="C1505" s="365"/>
      <c r="D1505" s="364"/>
      <c r="E1505" s="363"/>
      <c r="F1505" s="363"/>
      <c r="G1505" s="364"/>
      <c r="H1505" s="363"/>
      <c r="I1505" s="363"/>
      <c r="J1505" s="364"/>
      <c r="K1505" s="363"/>
      <c r="L1505" s="363"/>
      <c r="M1505" s="737"/>
      <c r="N1505" s="332"/>
      <c r="O1505" s="332"/>
      <c r="P1505" s="332"/>
      <c r="Q1505" s="332"/>
      <c r="R1505" s="332"/>
      <c r="S1505" s="332"/>
      <c r="T1505" s="332"/>
    </row>
    <row r="1506" spans="1:20" x14ac:dyDescent="0.6">
      <c r="A1506" s="334"/>
      <c r="B1506" s="610"/>
      <c r="C1506" s="365"/>
      <c r="D1506" s="364"/>
      <c r="E1506" s="363"/>
      <c r="F1506" s="363"/>
      <c r="G1506" s="364"/>
      <c r="H1506" s="363"/>
      <c r="I1506" s="363"/>
      <c r="J1506" s="364"/>
      <c r="K1506" s="363"/>
      <c r="L1506" s="363"/>
      <c r="M1506" s="737"/>
      <c r="N1506" s="332"/>
      <c r="O1506" s="332"/>
      <c r="P1506" s="332"/>
      <c r="Q1506" s="332"/>
      <c r="R1506" s="332"/>
      <c r="S1506" s="332"/>
      <c r="T1506" s="332"/>
    </row>
    <row r="1507" spans="1:20" x14ac:dyDescent="0.6">
      <c r="A1507" s="334"/>
      <c r="B1507" s="610"/>
      <c r="C1507" s="365"/>
      <c r="D1507" s="364"/>
      <c r="E1507" s="363"/>
      <c r="F1507" s="363"/>
      <c r="G1507" s="364"/>
      <c r="H1507" s="363"/>
      <c r="I1507" s="363"/>
      <c r="J1507" s="364"/>
      <c r="K1507" s="363"/>
      <c r="L1507" s="363"/>
      <c r="M1507" s="737"/>
      <c r="N1507" s="332"/>
      <c r="O1507" s="332"/>
      <c r="P1507" s="332"/>
      <c r="Q1507" s="332"/>
      <c r="R1507" s="332"/>
      <c r="S1507" s="332"/>
      <c r="T1507" s="332"/>
    </row>
    <row r="1508" spans="1:20" x14ac:dyDescent="0.6">
      <c r="A1508" s="334"/>
      <c r="B1508" s="610"/>
      <c r="C1508" s="365"/>
      <c r="D1508" s="364"/>
      <c r="E1508" s="363"/>
      <c r="F1508" s="363"/>
      <c r="G1508" s="364"/>
      <c r="H1508" s="363"/>
      <c r="I1508" s="363"/>
      <c r="J1508" s="364"/>
      <c r="K1508" s="363"/>
      <c r="L1508" s="363"/>
      <c r="M1508" s="737"/>
      <c r="N1508" s="332"/>
      <c r="O1508" s="332"/>
      <c r="P1508" s="332"/>
      <c r="Q1508" s="332"/>
      <c r="R1508" s="332"/>
      <c r="S1508" s="332"/>
      <c r="T1508" s="332"/>
    </row>
    <row r="1509" spans="1:20" x14ac:dyDescent="0.6">
      <c r="A1509" s="334"/>
      <c r="B1509" s="610"/>
      <c r="C1509" s="365"/>
      <c r="D1509" s="364"/>
      <c r="E1509" s="363"/>
      <c r="F1509" s="363"/>
      <c r="G1509" s="364"/>
      <c r="H1509" s="363"/>
      <c r="I1509" s="363"/>
      <c r="J1509" s="364"/>
      <c r="K1509" s="363"/>
      <c r="L1509" s="363"/>
      <c r="M1509" s="737"/>
      <c r="N1509" s="332"/>
      <c r="O1509" s="332"/>
      <c r="P1509" s="332"/>
      <c r="Q1509" s="332"/>
      <c r="R1509" s="332"/>
      <c r="S1509" s="332"/>
      <c r="T1509" s="332"/>
    </row>
    <row r="1510" spans="1:20" x14ac:dyDescent="0.6">
      <c r="A1510" s="334"/>
      <c r="B1510" s="610"/>
      <c r="C1510" s="365"/>
      <c r="D1510" s="364"/>
      <c r="E1510" s="363"/>
      <c r="F1510" s="363"/>
      <c r="G1510" s="364"/>
      <c r="H1510" s="363"/>
      <c r="I1510" s="363"/>
      <c r="J1510" s="364"/>
      <c r="K1510" s="363"/>
      <c r="L1510" s="363"/>
      <c r="M1510" s="737"/>
      <c r="N1510" s="332"/>
      <c r="O1510" s="332"/>
      <c r="P1510" s="332"/>
      <c r="Q1510" s="332"/>
      <c r="R1510" s="332"/>
      <c r="S1510" s="332"/>
      <c r="T1510" s="332"/>
    </row>
    <row r="1511" spans="1:20" x14ac:dyDescent="0.6">
      <c r="A1511" s="334"/>
      <c r="B1511" s="610"/>
      <c r="C1511" s="365"/>
      <c r="D1511" s="364"/>
      <c r="E1511" s="363"/>
      <c r="F1511" s="363"/>
      <c r="G1511" s="364"/>
      <c r="H1511" s="363"/>
      <c r="I1511" s="363"/>
      <c r="J1511" s="364"/>
      <c r="K1511" s="363"/>
      <c r="L1511" s="363"/>
      <c r="M1511" s="737"/>
      <c r="N1511" s="332"/>
      <c r="O1511" s="332"/>
      <c r="P1511" s="332"/>
      <c r="Q1511" s="332"/>
      <c r="R1511" s="332"/>
      <c r="S1511" s="332"/>
      <c r="T1511" s="332"/>
    </row>
    <row r="1512" spans="1:20" x14ac:dyDescent="0.6">
      <c r="A1512" s="334"/>
      <c r="B1512" s="610"/>
      <c r="C1512" s="365"/>
      <c r="D1512" s="364"/>
      <c r="E1512" s="363"/>
      <c r="F1512" s="363"/>
      <c r="G1512" s="364"/>
      <c r="H1512" s="363"/>
      <c r="I1512" s="363"/>
      <c r="J1512" s="364"/>
      <c r="K1512" s="363"/>
      <c r="L1512" s="363"/>
      <c r="M1512" s="737"/>
      <c r="N1512" s="332"/>
      <c r="O1512" s="332"/>
      <c r="P1512" s="332"/>
      <c r="Q1512" s="332"/>
      <c r="R1512" s="332"/>
      <c r="S1512" s="332"/>
      <c r="T1512" s="332"/>
    </row>
    <row r="1513" spans="1:20" x14ac:dyDescent="0.6">
      <c r="A1513" s="334"/>
      <c r="B1513" s="610"/>
      <c r="C1513" s="365"/>
      <c r="D1513" s="364"/>
      <c r="E1513" s="363"/>
      <c r="F1513" s="363"/>
      <c r="G1513" s="364"/>
      <c r="H1513" s="363"/>
      <c r="I1513" s="363"/>
      <c r="J1513" s="364"/>
      <c r="K1513" s="363"/>
      <c r="L1513" s="363"/>
      <c r="M1513" s="737"/>
      <c r="N1513" s="332"/>
      <c r="O1513" s="332"/>
      <c r="P1513" s="332"/>
      <c r="Q1513" s="332"/>
      <c r="R1513" s="332"/>
      <c r="S1513" s="332"/>
      <c r="T1513" s="332"/>
    </row>
    <row r="1514" spans="1:20" x14ac:dyDescent="0.6">
      <c r="A1514" s="334"/>
      <c r="B1514" s="610"/>
      <c r="C1514" s="365"/>
      <c r="D1514" s="364"/>
      <c r="E1514" s="363"/>
      <c r="F1514" s="363"/>
      <c r="G1514" s="364"/>
      <c r="H1514" s="363"/>
      <c r="I1514" s="363"/>
      <c r="J1514" s="364"/>
      <c r="K1514" s="363"/>
      <c r="L1514" s="363"/>
      <c r="M1514" s="737"/>
      <c r="N1514" s="332"/>
      <c r="O1514" s="332"/>
      <c r="P1514" s="332"/>
      <c r="Q1514" s="332"/>
      <c r="R1514" s="332"/>
      <c r="S1514" s="332"/>
      <c r="T1514" s="332"/>
    </row>
    <row r="1515" spans="1:20" x14ac:dyDescent="0.6">
      <c r="A1515" s="334"/>
      <c r="B1515" s="610"/>
      <c r="C1515" s="365"/>
      <c r="D1515" s="364"/>
      <c r="E1515" s="363"/>
      <c r="F1515" s="363"/>
      <c r="G1515" s="364"/>
      <c r="H1515" s="363"/>
      <c r="I1515" s="363"/>
      <c r="J1515" s="364"/>
      <c r="K1515" s="363"/>
      <c r="L1515" s="363"/>
      <c r="M1515" s="737"/>
      <c r="N1515" s="332"/>
      <c r="O1515" s="332"/>
      <c r="P1515" s="332"/>
      <c r="Q1515" s="332"/>
      <c r="R1515" s="332"/>
      <c r="S1515" s="332"/>
      <c r="T1515" s="332"/>
    </row>
    <row r="1516" spans="1:20" x14ac:dyDescent="0.6">
      <c r="A1516" s="334"/>
      <c r="B1516" s="610"/>
      <c r="C1516" s="365"/>
      <c r="D1516" s="364"/>
      <c r="E1516" s="363"/>
      <c r="F1516" s="363"/>
      <c r="G1516" s="364"/>
      <c r="H1516" s="363"/>
      <c r="I1516" s="363"/>
      <c r="J1516" s="364"/>
      <c r="K1516" s="363"/>
      <c r="L1516" s="363"/>
      <c r="M1516" s="737"/>
      <c r="N1516" s="332"/>
      <c r="O1516" s="332"/>
      <c r="P1516" s="332"/>
      <c r="Q1516" s="332"/>
      <c r="R1516" s="332"/>
      <c r="S1516" s="332"/>
      <c r="T1516" s="332"/>
    </row>
    <row r="1517" spans="1:20" x14ac:dyDescent="0.6">
      <c r="A1517" s="334"/>
      <c r="B1517" s="610"/>
      <c r="C1517" s="365"/>
      <c r="D1517" s="364"/>
      <c r="E1517" s="363"/>
      <c r="F1517" s="363"/>
      <c r="G1517" s="364"/>
      <c r="H1517" s="363"/>
      <c r="I1517" s="363"/>
      <c r="J1517" s="364"/>
      <c r="K1517" s="363"/>
      <c r="L1517" s="363"/>
      <c r="M1517" s="737"/>
      <c r="N1517" s="332"/>
      <c r="O1517" s="332"/>
      <c r="P1517" s="332"/>
      <c r="Q1517" s="332"/>
      <c r="R1517" s="332"/>
      <c r="S1517" s="332"/>
      <c r="T1517" s="332"/>
    </row>
    <row r="1518" spans="1:20" x14ac:dyDescent="0.6">
      <c r="A1518" s="334"/>
      <c r="B1518" s="610"/>
      <c r="C1518" s="365"/>
      <c r="D1518" s="364"/>
      <c r="E1518" s="363"/>
      <c r="F1518" s="363"/>
      <c r="G1518" s="364"/>
      <c r="H1518" s="363"/>
      <c r="I1518" s="363"/>
      <c r="J1518" s="364"/>
      <c r="K1518" s="363"/>
      <c r="L1518" s="363"/>
      <c r="M1518" s="737"/>
      <c r="N1518" s="332"/>
      <c r="O1518" s="332"/>
      <c r="P1518" s="332"/>
      <c r="Q1518" s="332"/>
      <c r="R1518" s="332"/>
      <c r="S1518" s="332"/>
      <c r="T1518" s="332"/>
    </row>
    <row r="1519" spans="1:20" x14ac:dyDescent="0.6">
      <c r="A1519" s="334"/>
      <c r="B1519" s="610"/>
      <c r="C1519" s="365"/>
      <c r="D1519" s="364"/>
      <c r="E1519" s="363"/>
      <c r="F1519" s="363"/>
      <c r="G1519" s="364"/>
      <c r="H1519" s="363"/>
      <c r="I1519" s="363"/>
      <c r="J1519" s="364"/>
      <c r="K1519" s="363"/>
      <c r="L1519" s="363"/>
      <c r="M1519" s="737"/>
      <c r="N1519" s="332"/>
      <c r="O1519" s="332"/>
      <c r="P1519" s="332"/>
      <c r="Q1519" s="332"/>
      <c r="R1519" s="332"/>
      <c r="S1519" s="332"/>
      <c r="T1519" s="332"/>
    </row>
    <row r="1520" spans="1:20" x14ac:dyDescent="0.6">
      <c r="A1520" s="334"/>
      <c r="B1520" s="610"/>
      <c r="C1520" s="365"/>
      <c r="D1520" s="364"/>
      <c r="E1520" s="363"/>
      <c r="F1520" s="363"/>
      <c r="G1520" s="364"/>
      <c r="H1520" s="363"/>
      <c r="I1520" s="363"/>
      <c r="J1520" s="364"/>
      <c r="K1520" s="363"/>
      <c r="L1520" s="363"/>
      <c r="M1520" s="737"/>
      <c r="N1520" s="332"/>
      <c r="O1520" s="332"/>
      <c r="P1520" s="332"/>
      <c r="Q1520" s="332"/>
      <c r="R1520" s="332"/>
      <c r="S1520" s="332"/>
      <c r="T1520" s="332"/>
    </row>
    <row r="1521" spans="1:20" x14ac:dyDescent="0.6">
      <c r="A1521" s="334"/>
      <c r="B1521" s="610"/>
      <c r="C1521" s="365"/>
      <c r="D1521" s="364"/>
      <c r="E1521" s="363"/>
      <c r="F1521" s="363"/>
      <c r="G1521" s="364"/>
      <c r="H1521" s="363"/>
      <c r="I1521" s="363"/>
      <c r="J1521" s="364"/>
      <c r="K1521" s="363"/>
      <c r="L1521" s="363"/>
      <c r="M1521" s="737"/>
      <c r="N1521" s="332"/>
      <c r="O1521" s="332"/>
      <c r="P1521" s="332"/>
      <c r="Q1521" s="332"/>
      <c r="R1521" s="332"/>
      <c r="S1521" s="332"/>
      <c r="T1521" s="332"/>
    </row>
    <row r="1522" spans="1:20" x14ac:dyDescent="0.6">
      <c r="A1522" s="334"/>
      <c r="B1522" s="610"/>
      <c r="C1522" s="365"/>
      <c r="D1522" s="364"/>
      <c r="E1522" s="363"/>
      <c r="F1522" s="363"/>
      <c r="G1522" s="364"/>
      <c r="H1522" s="363"/>
      <c r="I1522" s="363"/>
      <c r="J1522" s="364"/>
      <c r="K1522" s="363"/>
      <c r="L1522" s="363"/>
      <c r="M1522" s="737"/>
      <c r="N1522" s="332"/>
      <c r="O1522" s="332"/>
      <c r="P1522" s="332"/>
      <c r="Q1522" s="332"/>
      <c r="R1522" s="332"/>
      <c r="S1522" s="332"/>
      <c r="T1522" s="332"/>
    </row>
    <row r="1523" spans="1:20" x14ac:dyDescent="0.6">
      <c r="A1523" s="334"/>
      <c r="B1523" s="610"/>
      <c r="C1523" s="365"/>
      <c r="D1523" s="364"/>
      <c r="E1523" s="363"/>
      <c r="F1523" s="363"/>
      <c r="G1523" s="364"/>
      <c r="H1523" s="363"/>
      <c r="I1523" s="363"/>
      <c r="J1523" s="364"/>
      <c r="K1523" s="363"/>
      <c r="L1523" s="363"/>
      <c r="M1523" s="737"/>
      <c r="N1523" s="332"/>
      <c r="O1523" s="332"/>
      <c r="P1523" s="332"/>
      <c r="Q1523" s="332"/>
      <c r="R1523" s="332"/>
      <c r="S1523" s="332"/>
      <c r="T1523" s="332"/>
    </row>
    <row r="1524" spans="1:20" x14ac:dyDescent="0.6">
      <c r="A1524" s="334"/>
      <c r="B1524" s="610"/>
      <c r="C1524" s="365"/>
      <c r="D1524" s="364"/>
      <c r="E1524" s="363"/>
      <c r="F1524" s="363"/>
      <c r="G1524" s="364"/>
      <c r="H1524" s="363"/>
      <c r="I1524" s="363"/>
      <c r="J1524" s="364"/>
      <c r="K1524" s="363"/>
      <c r="L1524" s="363"/>
      <c r="M1524" s="737"/>
      <c r="N1524" s="332"/>
      <c r="O1524" s="332"/>
      <c r="P1524" s="332"/>
      <c r="Q1524" s="332"/>
      <c r="R1524" s="332"/>
      <c r="S1524" s="332"/>
      <c r="T1524" s="332"/>
    </row>
    <row r="1525" spans="1:20" x14ac:dyDescent="0.6">
      <c r="A1525" s="334"/>
      <c r="B1525" s="610"/>
      <c r="C1525" s="365"/>
      <c r="D1525" s="364"/>
      <c r="E1525" s="363"/>
      <c r="F1525" s="363"/>
      <c r="G1525" s="364"/>
      <c r="H1525" s="363"/>
      <c r="I1525" s="363"/>
      <c r="J1525" s="364"/>
      <c r="K1525" s="363"/>
      <c r="L1525" s="363"/>
      <c r="M1525" s="737"/>
      <c r="N1525" s="332"/>
      <c r="O1525" s="332"/>
      <c r="P1525" s="332"/>
      <c r="Q1525" s="332"/>
      <c r="R1525" s="332"/>
      <c r="S1525" s="332"/>
      <c r="T1525" s="332"/>
    </row>
    <row r="1526" spans="1:20" x14ac:dyDescent="0.6">
      <c r="A1526" s="334"/>
      <c r="B1526" s="610"/>
      <c r="C1526" s="365"/>
      <c r="D1526" s="364"/>
      <c r="E1526" s="363"/>
      <c r="F1526" s="363"/>
      <c r="G1526" s="364"/>
      <c r="H1526" s="363"/>
      <c r="I1526" s="363"/>
      <c r="J1526" s="364"/>
      <c r="K1526" s="363"/>
      <c r="L1526" s="363"/>
      <c r="M1526" s="737"/>
      <c r="N1526" s="332"/>
      <c r="O1526" s="332"/>
      <c r="P1526" s="332"/>
      <c r="Q1526" s="332"/>
      <c r="R1526" s="332"/>
      <c r="S1526" s="332"/>
      <c r="T1526" s="332"/>
    </row>
    <row r="1527" spans="1:20" x14ac:dyDescent="0.6">
      <c r="A1527" s="334"/>
      <c r="B1527" s="610"/>
      <c r="C1527" s="365"/>
      <c r="D1527" s="364"/>
      <c r="E1527" s="363"/>
      <c r="F1527" s="363"/>
      <c r="G1527" s="364"/>
      <c r="H1527" s="363"/>
      <c r="I1527" s="363"/>
      <c r="J1527" s="364"/>
      <c r="K1527" s="363"/>
      <c r="L1527" s="363"/>
      <c r="M1527" s="737"/>
      <c r="N1527" s="332"/>
      <c r="O1527" s="332"/>
      <c r="P1527" s="332"/>
      <c r="Q1527" s="332"/>
      <c r="R1527" s="332"/>
      <c r="S1527" s="332"/>
      <c r="T1527" s="332"/>
    </row>
    <row r="1528" spans="1:20" x14ac:dyDescent="0.6">
      <c r="A1528" s="334"/>
      <c r="B1528" s="610"/>
      <c r="C1528" s="365"/>
      <c r="D1528" s="364"/>
      <c r="E1528" s="363"/>
      <c r="F1528" s="363"/>
      <c r="G1528" s="364"/>
      <c r="H1528" s="363"/>
      <c r="I1528" s="363"/>
      <c r="J1528" s="364"/>
      <c r="K1528" s="363"/>
      <c r="L1528" s="363"/>
      <c r="M1528" s="737"/>
      <c r="N1528" s="332"/>
      <c r="O1528" s="332"/>
      <c r="P1528" s="332"/>
      <c r="Q1528" s="332"/>
      <c r="R1528" s="332"/>
      <c r="S1528" s="332"/>
      <c r="T1528" s="332"/>
    </row>
    <row r="1529" spans="1:20" x14ac:dyDescent="0.6">
      <c r="A1529" s="334"/>
      <c r="B1529" s="610"/>
      <c r="C1529" s="365"/>
      <c r="D1529" s="364"/>
      <c r="E1529" s="363"/>
      <c r="F1529" s="363"/>
      <c r="G1529" s="364"/>
      <c r="H1529" s="363"/>
      <c r="I1529" s="363"/>
      <c r="J1529" s="364"/>
      <c r="K1529" s="363"/>
      <c r="L1529" s="363"/>
      <c r="M1529" s="737"/>
      <c r="N1529" s="332"/>
      <c r="O1529" s="332"/>
      <c r="P1529" s="332"/>
      <c r="Q1529" s="332"/>
      <c r="R1529" s="332"/>
      <c r="S1529" s="332"/>
      <c r="T1529" s="332"/>
    </row>
    <row r="1530" spans="1:20" x14ac:dyDescent="0.6">
      <c r="A1530" s="334"/>
      <c r="B1530" s="610"/>
      <c r="C1530" s="365"/>
      <c r="D1530" s="364"/>
      <c r="E1530" s="363"/>
      <c r="F1530" s="363"/>
      <c r="G1530" s="364"/>
      <c r="H1530" s="363"/>
      <c r="I1530" s="363"/>
      <c r="J1530" s="364"/>
      <c r="K1530" s="363"/>
      <c r="L1530" s="363"/>
      <c r="M1530" s="737"/>
      <c r="N1530" s="332"/>
      <c r="O1530" s="332"/>
      <c r="P1530" s="332"/>
      <c r="Q1530" s="332"/>
      <c r="R1530" s="332"/>
      <c r="S1530" s="332"/>
      <c r="T1530" s="332"/>
    </row>
    <row r="1531" spans="1:20" x14ac:dyDescent="0.6">
      <c r="A1531" s="334"/>
      <c r="B1531" s="610"/>
      <c r="C1531" s="365"/>
      <c r="D1531" s="364"/>
      <c r="E1531" s="363"/>
      <c r="F1531" s="363"/>
      <c r="G1531" s="364"/>
      <c r="H1531" s="363"/>
      <c r="I1531" s="363"/>
      <c r="J1531" s="364"/>
      <c r="K1531" s="363"/>
      <c r="L1531" s="363"/>
      <c r="M1531" s="737"/>
      <c r="N1531" s="332"/>
      <c r="O1531" s="332"/>
      <c r="P1531" s="332"/>
      <c r="Q1531" s="332"/>
      <c r="R1531" s="332"/>
      <c r="S1531" s="332"/>
      <c r="T1531" s="332"/>
    </row>
    <row r="1532" spans="1:20" x14ac:dyDescent="0.6">
      <c r="A1532" s="334"/>
      <c r="B1532" s="610"/>
      <c r="C1532" s="365"/>
      <c r="D1532" s="364"/>
      <c r="E1532" s="363"/>
      <c r="F1532" s="363"/>
      <c r="G1532" s="364"/>
      <c r="H1532" s="363"/>
      <c r="I1532" s="363"/>
      <c r="J1532" s="364"/>
      <c r="K1532" s="363"/>
      <c r="L1532" s="363"/>
      <c r="M1532" s="737"/>
      <c r="N1532" s="332"/>
      <c r="O1532" s="332"/>
      <c r="P1532" s="332"/>
      <c r="Q1532" s="332"/>
      <c r="R1532" s="332"/>
      <c r="S1532" s="332"/>
      <c r="T1532" s="332"/>
    </row>
    <row r="1533" spans="1:20" x14ac:dyDescent="0.6">
      <c r="A1533" s="334"/>
      <c r="B1533" s="610"/>
      <c r="C1533" s="365"/>
      <c r="D1533" s="364"/>
      <c r="E1533" s="363"/>
      <c r="F1533" s="363"/>
      <c r="G1533" s="364"/>
      <c r="H1533" s="363"/>
      <c r="I1533" s="363"/>
      <c r="J1533" s="364"/>
      <c r="K1533" s="363"/>
      <c r="L1533" s="363"/>
      <c r="M1533" s="737"/>
      <c r="N1533" s="332"/>
      <c r="O1533" s="332"/>
      <c r="P1533" s="332"/>
      <c r="Q1533" s="332"/>
      <c r="R1533" s="332"/>
      <c r="S1533" s="332"/>
      <c r="T1533" s="332"/>
    </row>
    <row r="1534" spans="1:20" x14ac:dyDescent="0.6">
      <c r="A1534" s="334"/>
      <c r="B1534" s="610"/>
      <c r="C1534" s="365"/>
      <c r="D1534" s="364"/>
      <c r="E1534" s="363"/>
      <c r="F1534" s="363"/>
      <c r="G1534" s="364"/>
      <c r="H1534" s="363"/>
      <c r="I1534" s="363"/>
      <c r="J1534" s="364"/>
      <c r="K1534" s="363"/>
      <c r="L1534" s="363"/>
      <c r="M1534" s="737"/>
      <c r="N1534" s="332"/>
      <c r="O1534" s="332"/>
      <c r="P1534" s="332"/>
      <c r="Q1534" s="332"/>
      <c r="R1534" s="332"/>
      <c r="S1534" s="332"/>
      <c r="T1534" s="332"/>
    </row>
    <row r="1535" spans="1:20" x14ac:dyDescent="0.6">
      <c r="A1535" s="334"/>
      <c r="B1535" s="610"/>
      <c r="C1535" s="365"/>
      <c r="D1535" s="364"/>
      <c r="E1535" s="363"/>
      <c r="F1535" s="363"/>
      <c r="G1535" s="364"/>
      <c r="H1535" s="363"/>
      <c r="I1535" s="363"/>
      <c r="J1535" s="364"/>
      <c r="K1535" s="363"/>
      <c r="L1535" s="363"/>
      <c r="M1535" s="737"/>
      <c r="N1535" s="332"/>
      <c r="O1535" s="332"/>
      <c r="P1535" s="332"/>
      <c r="Q1535" s="332"/>
      <c r="R1535" s="332"/>
      <c r="S1535" s="332"/>
      <c r="T1535" s="332"/>
    </row>
    <row r="1536" spans="1:20" x14ac:dyDescent="0.6">
      <c r="A1536" s="334"/>
      <c r="B1536" s="610"/>
      <c r="C1536" s="365"/>
      <c r="D1536" s="364"/>
      <c r="E1536" s="363"/>
      <c r="F1536" s="363"/>
      <c r="G1536" s="364"/>
      <c r="H1536" s="363"/>
      <c r="I1536" s="363"/>
      <c r="J1536" s="364"/>
      <c r="K1536" s="363"/>
      <c r="L1536" s="363"/>
      <c r="M1536" s="737"/>
      <c r="N1536" s="332"/>
      <c r="O1536" s="332"/>
      <c r="P1536" s="332"/>
      <c r="Q1536" s="332"/>
      <c r="R1536" s="332"/>
      <c r="S1536" s="332"/>
      <c r="T1536" s="332"/>
    </row>
    <row r="1537" spans="1:20" x14ac:dyDescent="0.6">
      <c r="A1537" s="334"/>
      <c r="B1537" s="610"/>
      <c r="C1537" s="365"/>
      <c r="D1537" s="364"/>
      <c r="E1537" s="363"/>
      <c r="F1537" s="363"/>
      <c r="G1537" s="364"/>
      <c r="H1537" s="363"/>
      <c r="I1537" s="363"/>
      <c r="J1537" s="364"/>
      <c r="K1537" s="363"/>
      <c r="L1537" s="363"/>
      <c r="M1537" s="737"/>
      <c r="N1537" s="332"/>
      <c r="O1537" s="332"/>
      <c r="P1537" s="332"/>
      <c r="Q1537" s="332"/>
      <c r="R1537" s="332"/>
      <c r="S1537" s="332"/>
      <c r="T1537" s="332"/>
    </row>
    <row r="1538" spans="1:20" x14ac:dyDescent="0.6">
      <c r="A1538" s="334"/>
      <c r="B1538" s="610"/>
      <c r="C1538" s="365"/>
      <c r="D1538" s="364"/>
      <c r="E1538" s="363"/>
      <c r="F1538" s="363"/>
      <c r="G1538" s="364"/>
      <c r="H1538" s="363"/>
      <c r="I1538" s="363"/>
      <c r="J1538" s="364"/>
      <c r="K1538" s="363"/>
      <c r="L1538" s="363"/>
      <c r="M1538" s="737"/>
      <c r="N1538" s="332"/>
      <c r="O1538" s="332"/>
      <c r="P1538" s="332"/>
      <c r="Q1538" s="332"/>
      <c r="R1538" s="332"/>
      <c r="S1538" s="332"/>
      <c r="T1538" s="332"/>
    </row>
    <row r="1539" spans="1:20" x14ac:dyDescent="0.6">
      <c r="A1539" s="334"/>
      <c r="B1539" s="610"/>
      <c r="C1539" s="365"/>
      <c r="D1539" s="364"/>
      <c r="E1539" s="363"/>
      <c r="F1539" s="363"/>
      <c r="G1539" s="364"/>
      <c r="H1539" s="363"/>
      <c r="I1539" s="363"/>
      <c r="J1539" s="364"/>
      <c r="K1539" s="363"/>
      <c r="L1539" s="363"/>
      <c r="M1539" s="737"/>
      <c r="N1539" s="332"/>
      <c r="O1539" s="332"/>
      <c r="P1539" s="332"/>
      <c r="Q1539" s="332"/>
      <c r="R1539" s="332"/>
      <c r="S1539" s="332"/>
      <c r="T1539" s="332"/>
    </row>
    <row r="1540" spans="1:20" x14ac:dyDescent="0.6">
      <c r="A1540" s="334"/>
      <c r="B1540" s="610"/>
      <c r="C1540" s="365"/>
      <c r="D1540" s="364"/>
      <c r="E1540" s="363"/>
      <c r="F1540" s="363"/>
      <c r="G1540" s="364"/>
      <c r="H1540" s="363"/>
      <c r="I1540" s="363"/>
      <c r="J1540" s="364"/>
      <c r="K1540" s="363"/>
      <c r="L1540" s="363"/>
      <c r="M1540" s="737"/>
      <c r="N1540" s="332"/>
      <c r="O1540" s="332"/>
      <c r="P1540" s="332"/>
      <c r="Q1540" s="332"/>
      <c r="R1540" s="332"/>
      <c r="S1540" s="332"/>
      <c r="T1540" s="332"/>
    </row>
    <row r="1541" spans="1:20" x14ac:dyDescent="0.6">
      <c r="A1541" s="334"/>
      <c r="B1541" s="610"/>
      <c r="C1541" s="365"/>
      <c r="D1541" s="364"/>
      <c r="E1541" s="363"/>
      <c r="F1541" s="363"/>
      <c r="G1541" s="364"/>
      <c r="H1541" s="363"/>
      <c r="I1541" s="363"/>
      <c r="J1541" s="364"/>
      <c r="K1541" s="363"/>
      <c r="L1541" s="363"/>
      <c r="M1541" s="737"/>
      <c r="N1541" s="332"/>
      <c r="O1541" s="332"/>
      <c r="P1541" s="332"/>
      <c r="Q1541" s="332"/>
      <c r="R1541" s="332"/>
      <c r="S1541" s="332"/>
      <c r="T1541" s="332"/>
    </row>
    <row r="1542" spans="1:20" x14ac:dyDescent="0.6">
      <c r="A1542" s="334"/>
      <c r="B1542" s="610"/>
      <c r="C1542" s="365"/>
      <c r="D1542" s="364"/>
      <c r="E1542" s="363"/>
      <c r="F1542" s="363"/>
      <c r="G1542" s="364"/>
      <c r="H1542" s="363"/>
      <c r="I1542" s="363"/>
      <c r="J1542" s="364"/>
      <c r="K1542" s="363"/>
      <c r="L1542" s="363"/>
      <c r="M1542" s="737"/>
      <c r="N1542" s="332"/>
      <c r="O1542" s="332"/>
      <c r="P1542" s="332"/>
      <c r="Q1542" s="332"/>
      <c r="R1542" s="332"/>
      <c r="S1542" s="332"/>
      <c r="T1542" s="332"/>
    </row>
    <row r="1543" spans="1:20" x14ac:dyDescent="0.6">
      <c r="A1543" s="334"/>
      <c r="B1543" s="610"/>
      <c r="C1543" s="365"/>
      <c r="D1543" s="364"/>
      <c r="E1543" s="363"/>
      <c r="F1543" s="363"/>
      <c r="G1543" s="364"/>
      <c r="H1543" s="363"/>
      <c r="I1543" s="363"/>
      <c r="J1543" s="364"/>
      <c r="K1543" s="363"/>
      <c r="L1543" s="363"/>
      <c r="M1543" s="737"/>
      <c r="N1543" s="332"/>
      <c r="O1543" s="332"/>
      <c r="P1543" s="332"/>
      <c r="Q1543" s="332"/>
      <c r="R1543" s="332"/>
      <c r="S1543" s="332"/>
      <c r="T1543" s="332"/>
    </row>
    <row r="1544" spans="1:20" x14ac:dyDescent="0.6">
      <c r="A1544" s="334"/>
      <c r="B1544" s="610"/>
      <c r="C1544" s="365"/>
      <c r="D1544" s="364"/>
      <c r="E1544" s="363"/>
      <c r="F1544" s="363"/>
      <c r="G1544" s="364"/>
      <c r="H1544" s="363"/>
      <c r="I1544" s="363"/>
      <c r="J1544" s="364"/>
      <c r="K1544" s="363"/>
      <c r="L1544" s="363"/>
      <c r="M1544" s="737"/>
      <c r="N1544" s="332"/>
      <c r="O1544" s="332"/>
      <c r="P1544" s="332"/>
      <c r="Q1544" s="332"/>
      <c r="R1544" s="332"/>
      <c r="S1544" s="332"/>
      <c r="T1544" s="332"/>
    </row>
    <row r="1545" spans="1:20" x14ac:dyDescent="0.6">
      <c r="A1545" s="334"/>
      <c r="B1545" s="610"/>
      <c r="C1545" s="365"/>
      <c r="D1545" s="364"/>
      <c r="E1545" s="363"/>
      <c r="F1545" s="363"/>
      <c r="G1545" s="364"/>
      <c r="H1545" s="363"/>
      <c r="I1545" s="363"/>
      <c r="J1545" s="364"/>
      <c r="K1545" s="363"/>
      <c r="L1545" s="363"/>
      <c r="M1545" s="737"/>
      <c r="N1545" s="332"/>
      <c r="O1545" s="332"/>
      <c r="P1545" s="332"/>
      <c r="Q1545" s="332"/>
      <c r="R1545" s="332"/>
      <c r="S1545" s="332"/>
      <c r="T1545" s="332"/>
    </row>
    <row r="1546" spans="1:20" x14ac:dyDescent="0.6">
      <c r="A1546" s="334"/>
      <c r="B1546" s="610"/>
      <c r="C1546" s="365"/>
      <c r="D1546" s="364"/>
      <c r="E1546" s="363"/>
      <c r="F1546" s="363"/>
      <c r="G1546" s="364"/>
      <c r="H1546" s="363"/>
      <c r="I1546" s="363"/>
      <c r="J1546" s="364"/>
      <c r="K1546" s="363"/>
      <c r="L1546" s="363"/>
      <c r="M1546" s="737"/>
      <c r="N1546" s="332"/>
      <c r="O1546" s="332"/>
      <c r="P1546" s="332"/>
      <c r="Q1546" s="332"/>
      <c r="R1546" s="332"/>
      <c r="S1546" s="332"/>
      <c r="T1546" s="332"/>
    </row>
    <row r="1547" spans="1:20" x14ac:dyDescent="0.6">
      <c r="A1547" s="334"/>
      <c r="B1547" s="610"/>
      <c r="C1547" s="365"/>
      <c r="D1547" s="364"/>
      <c r="E1547" s="363"/>
      <c r="F1547" s="363"/>
      <c r="G1547" s="364"/>
      <c r="H1547" s="363"/>
      <c r="I1547" s="363"/>
      <c r="J1547" s="364"/>
      <c r="K1547" s="363"/>
      <c r="L1547" s="363"/>
      <c r="M1547" s="737"/>
      <c r="N1547" s="332"/>
      <c r="O1547" s="332"/>
      <c r="P1547" s="332"/>
      <c r="Q1547" s="332"/>
      <c r="R1547" s="332"/>
      <c r="S1547" s="332"/>
      <c r="T1547" s="332"/>
    </row>
    <row r="1548" spans="1:20" x14ac:dyDescent="0.6">
      <c r="A1548" s="334"/>
      <c r="B1548" s="610"/>
      <c r="C1548" s="365"/>
      <c r="D1548" s="364"/>
      <c r="E1548" s="363"/>
      <c r="F1548" s="363"/>
      <c r="G1548" s="364"/>
      <c r="H1548" s="363"/>
      <c r="I1548" s="363"/>
      <c r="J1548" s="364"/>
      <c r="K1548" s="363"/>
      <c r="L1548" s="363"/>
      <c r="M1548" s="737"/>
      <c r="N1548" s="332"/>
      <c r="O1548" s="332"/>
      <c r="P1548" s="332"/>
      <c r="Q1548" s="332"/>
      <c r="R1548" s="332"/>
      <c r="S1548" s="332"/>
      <c r="T1548" s="332"/>
    </row>
    <row r="1549" spans="1:20" x14ac:dyDescent="0.6">
      <c r="A1549" s="334"/>
      <c r="B1549" s="610"/>
      <c r="C1549" s="365"/>
      <c r="D1549" s="364"/>
      <c r="E1549" s="363"/>
      <c r="F1549" s="363"/>
      <c r="G1549" s="364"/>
      <c r="H1549" s="363"/>
      <c r="I1549" s="363"/>
      <c r="J1549" s="364"/>
      <c r="K1549" s="363"/>
      <c r="L1549" s="363"/>
      <c r="M1549" s="737"/>
      <c r="N1549" s="332"/>
      <c r="O1549" s="332"/>
      <c r="P1549" s="332"/>
      <c r="Q1549" s="332"/>
      <c r="R1549" s="332"/>
      <c r="S1549" s="332"/>
      <c r="T1549" s="332"/>
    </row>
    <row r="1550" spans="1:20" x14ac:dyDescent="0.6">
      <c r="A1550" s="334"/>
      <c r="B1550" s="610"/>
      <c r="C1550" s="365"/>
      <c r="D1550" s="364"/>
      <c r="E1550" s="363"/>
      <c r="F1550" s="363"/>
      <c r="G1550" s="364"/>
      <c r="H1550" s="363"/>
      <c r="I1550" s="363"/>
      <c r="J1550" s="364"/>
      <c r="K1550" s="363"/>
      <c r="L1550" s="363"/>
      <c r="M1550" s="737"/>
      <c r="N1550" s="332"/>
      <c r="O1550" s="332"/>
      <c r="P1550" s="332"/>
      <c r="Q1550" s="332"/>
      <c r="R1550" s="332"/>
      <c r="S1550" s="332"/>
      <c r="T1550" s="332"/>
    </row>
    <row r="1551" spans="1:20" x14ac:dyDescent="0.6">
      <c r="A1551" s="334"/>
      <c r="B1551" s="610"/>
      <c r="C1551" s="365"/>
      <c r="D1551" s="364"/>
      <c r="E1551" s="363"/>
      <c r="F1551" s="363"/>
      <c r="G1551" s="364"/>
      <c r="H1551" s="363"/>
      <c r="I1551" s="363"/>
      <c r="J1551" s="364"/>
      <c r="K1551" s="363"/>
      <c r="L1551" s="363"/>
      <c r="M1551" s="737"/>
      <c r="N1551" s="332"/>
      <c r="O1551" s="332"/>
      <c r="P1551" s="332"/>
      <c r="Q1551" s="332"/>
      <c r="R1551" s="332"/>
      <c r="S1551" s="332"/>
      <c r="T1551" s="332"/>
    </row>
    <row r="1552" spans="1:20" x14ac:dyDescent="0.6">
      <c r="A1552" s="334"/>
      <c r="B1552" s="610"/>
      <c r="C1552" s="365"/>
      <c r="D1552" s="364"/>
      <c r="E1552" s="363"/>
      <c r="F1552" s="363"/>
      <c r="G1552" s="364"/>
      <c r="H1552" s="363"/>
      <c r="I1552" s="363"/>
      <c r="J1552" s="364"/>
      <c r="K1552" s="363"/>
      <c r="L1552" s="363"/>
      <c r="M1552" s="737"/>
      <c r="N1552" s="332"/>
      <c r="O1552" s="332"/>
      <c r="P1552" s="332"/>
      <c r="Q1552" s="332"/>
      <c r="R1552" s="332"/>
      <c r="S1552" s="332"/>
      <c r="T1552" s="332"/>
    </row>
    <row r="1553" spans="1:20" x14ac:dyDescent="0.6">
      <c r="A1553" s="334"/>
      <c r="B1553" s="610"/>
      <c r="C1553" s="365"/>
      <c r="D1553" s="364"/>
      <c r="E1553" s="363"/>
      <c r="F1553" s="363"/>
      <c r="G1553" s="364"/>
      <c r="H1553" s="363"/>
      <c r="I1553" s="363"/>
      <c r="J1553" s="364"/>
      <c r="K1553" s="363"/>
      <c r="L1553" s="363"/>
      <c r="M1553" s="737"/>
      <c r="N1553" s="332"/>
      <c r="O1553" s="332"/>
      <c r="P1553" s="332"/>
      <c r="Q1553" s="332"/>
      <c r="R1553" s="332"/>
      <c r="S1553" s="332"/>
      <c r="T1553" s="332"/>
    </row>
    <row r="1554" spans="1:20" x14ac:dyDescent="0.6">
      <c r="A1554" s="334"/>
      <c r="B1554" s="610"/>
      <c r="C1554" s="365"/>
      <c r="D1554" s="364"/>
      <c r="E1554" s="363"/>
      <c r="F1554" s="363"/>
      <c r="G1554" s="364"/>
      <c r="H1554" s="363"/>
      <c r="I1554" s="363"/>
      <c r="J1554" s="364"/>
      <c r="K1554" s="363"/>
      <c r="L1554" s="363"/>
      <c r="M1554" s="737"/>
      <c r="N1554" s="332"/>
      <c r="O1554" s="332"/>
      <c r="P1554" s="332"/>
      <c r="Q1554" s="332"/>
      <c r="R1554" s="332"/>
      <c r="S1554" s="332"/>
      <c r="T1554" s="332"/>
    </row>
    <row r="1555" spans="1:20" x14ac:dyDescent="0.6">
      <c r="A1555" s="334"/>
      <c r="B1555" s="610"/>
      <c r="C1555" s="365"/>
      <c r="D1555" s="364"/>
      <c r="E1555" s="363"/>
      <c r="F1555" s="363"/>
      <c r="G1555" s="364"/>
      <c r="H1555" s="363"/>
      <c r="I1555" s="363"/>
      <c r="J1555" s="364"/>
      <c r="K1555" s="363"/>
      <c r="L1555" s="363"/>
      <c r="M1555" s="737"/>
      <c r="N1555" s="332"/>
      <c r="O1555" s="332"/>
      <c r="P1555" s="332"/>
      <c r="Q1555" s="332"/>
      <c r="R1555" s="332"/>
      <c r="S1555" s="332"/>
      <c r="T1555" s="332"/>
    </row>
    <row r="1556" spans="1:20" x14ac:dyDescent="0.6">
      <c r="A1556" s="334"/>
      <c r="B1556" s="610"/>
      <c r="C1556" s="365"/>
      <c r="D1556" s="364"/>
      <c r="E1556" s="363"/>
      <c r="F1556" s="363"/>
      <c r="G1556" s="364"/>
      <c r="H1556" s="363"/>
      <c r="I1556" s="363"/>
      <c r="J1556" s="364"/>
      <c r="K1556" s="363"/>
      <c r="L1556" s="363"/>
      <c r="M1556" s="737"/>
      <c r="N1556" s="332"/>
      <c r="O1556" s="332"/>
      <c r="P1556" s="332"/>
      <c r="Q1556" s="332"/>
      <c r="R1556" s="332"/>
      <c r="S1556" s="332"/>
      <c r="T1556" s="332"/>
    </row>
    <row r="1557" spans="1:20" x14ac:dyDescent="0.6">
      <c r="A1557" s="334"/>
      <c r="B1557" s="610"/>
      <c r="C1557" s="365"/>
      <c r="D1557" s="364"/>
      <c r="E1557" s="363"/>
      <c r="F1557" s="363"/>
      <c r="G1557" s="364"/>
      <c r="H1557" s="363"/>
      <c r="I1557" s="363"/>
      <c r="J1557" s="364"/>
      <c r="K1557" s="363"/>
      <c r="L1557" s="363"/>
      <c r="M1557" s="737"/>
      <c r="N1557" s="332"/>
      <c r="O1557" s="332"/>
      <c r="P1557" s="332"/>
      <c r="Q1557" s="332"/>
      <c r="R1557" s="332"/>
      <c r="S1557" s="332"/>
      <c r="T1557" s="332"/>
    </row>
    <row r="1558" spans="1:20" x14ac:dyDescent="0.6">
      <c r="A1558" s="334"/>
      <c r="B1558" s="610"/>
      <c r="C1558" s="365"/>
      <c r="D1558" s="364"/>
      <c r="E1558" s="363"/>
      <c r="F1558" s="363"/>
      <c r="G1558" s="364"/>
      <c r="H1558" s="363"/>
      <c r="I1558" s="363"/>
      <c r="J1558" s="364"/>
      <c r="K1558" s="363"/>
      <c r="L1558" s="363"/>
      <c r="M1558" s="737"/>
      <c r="N1558" s="332"/>
      <c r="O1558" s="332"/>
      <c r="P1558" s="332"/>
      <c r="Q1558" s="332"/>
      <c r="R1558" s="332"/>
      <c r="S1558" s="332"/>
      <c r="T1558" s="332"/>
    </row>
    <row r="1559" spans="1:20" x14ac:dyDescent="0.6">
      <c r="A1559" s="334"/>
      <c r="B1559" s="610"/>
      <c r="C1559" s="365"/>
      <c r="D1559" s="364"/>
      <c r="E1559" s="363"/>
      <c r="F1559" s="363"/>
      <c r="G1559" s="364"/>
      <c r="H1559" s="363"/>
      <c r="I1559" s="363"/>
      <c r="J1559" s="364"/>
      <c r="K1559" s="363"/>
      <c r="L1559" s="363"/>
      <c r="M1559" s="737"/>
      <c r="N1559" s="332"/>
      <c r="O1559" s="332"/>
      <c r="P1559" s="332"/>
      <c r="Q1559" s="332"/>
      <c r="R1559" s="332"/>
      <c r="S1559" s="332"/>
      <c r="T1559" s="332"/>
    </row>
    <row r="1560" spans="1:20" x14ac:dyDescent="0.6">
      <c r="A1560" s="334"/>
      <c r="B1560" s="610"/>
      <c r="C1560" s="365"/>
      <c r="D1560" s="364"/>
      <c r="E1560" s="363"/>
      <c r="F1560" s="363"/>
      <c r="G1560" s="364"/>
      <c r="H1560" s="363"/>
      <c r="I1560" s="363"/>
      <c r="J1560" s="364"/>
      <c r="K1560" s="363"/>
      <c r="L1560" s="363"/>
      <c r="M1560" s="737"/>
      <c r="N1560" s="332"/>
      <c r="O1560" s="332"/>
      <c r="P1560" s="332"/>
      <c r="Q1560" s="332"/>
      <c r="R1560" s="332"/>
      <c r="S1560" s="332"/>
      <c r="T1560" s="332"/>
    </row>
    <row r="1561" spans="1:20" x14ac:dyDescent="0.6">
      <c r="A1561" s="334"/>
      <c r="B1561" s="610"/>
      <c r="C1561" s="365"/>
      <c r="D1561" s="364"/>
      <c r="E1561" s="363"/>
      <c r="F1561" s="363"/>
      <c r="G1561" s="364"/>
      <c r="H1561" s="363"/>
      <c r="I1561" s="363"/>
      <c r="J1561" s="364"/>
      <c r="K1561" s="363"/>
      <c r="L1561" s="363"/>
      <c r="M1561" s="737"/>
      <c r="N1561" s="332"/>
      <c r="O1561" s="332"/>
      <c r="P1561" s="332"/>
      <c r="Q1561" s="332"/>
      <c r="R1561" s="332"/>
      <c r="S1561" s="332"/>
      <c r="T1561" s="332"/>
    </row>
    <row r="1562" spans="1:20" x14ac:dyDescent="0.6">
      <c r="A1562" s="334"/>
      <c r="B1562" s="610"/>
      <c r="C1562" s="365"/>
      <c r="D1562" s="364"/>
      <c r="E1562" s="363"/>
      <c r="F1562" s="363"/>
      <c r="G1562" s="364"/>
      <c r="H1562" s="363"/>
      <c r="I1562" s="363"/>
      <c r="J1562" s="364"/>
      <c r="K1562" s="363"/>
      <c r="L1562" s="363"/>
      <c r="M1562" s="737"/>
      <c r="N1562" s="332"/>
      <c r="O1562" s="332"/>
      <c r="P1562" s="332"/>
      <c r="Q1562" s="332"/>
      <c r="R1562" s="332"/>
      <c r="S1562" s="332"/>
      <c r="T1562" s="332"/>
    </row>
    <row r="1563" spans="1:20" x14ac:dyDescent="0.6">
      <c r="A1563" s="334"/>
      <c r="B1563" s="610"/>
      <c r="C1563" s="365"/>
      <c r="D1563" s="364"/>
      <c r="E1563" s="363"/>
      <c r="F1563" s="363"/>
      <c r="G1563" s="364"/>
      <c r="H1563" s="363"/>
      <c r="I1563" s="363"/>
      <c r="J1563" s="364"/>
      <c r="K1563" s="363"/>
      <c r="L1563" s="363"/>
      <c r="M1563" s="737"/>
      <c r="N1563" s="332"/>
      <c r="O1563" s="332"/>
      <c r="P1563" s="332"/>
      <c r="Q1563" s="332"/>
      <c r="R1563" s="332"/>
      <c r="S1563" s="332"/>
      <c r="T1563" s="332"/>
    </row>
    <row r="1564" spans="1:20" x14ac:dyDescent="0.6">
      <c r="A1564" s="334"/>
      <c r="B1564" s="610"/>
      <c r="C1564" s="365"/>
      <c r="D1564" s="364"/>
      <c r="E1564" s="363"/>
      <c r="F1564" s="363"/>
      <c r="G1564" s="364"/>
      <c r="H1564" s="363"/>
      <c r="I1564" s="363"/>
      <c r="J1564" s="364"/>
      <c r="K1564" s="363"/>
      <c r="L1564" s="363"/>
      <c r="M1564" s="737"/>
      <c r="N1564" s="332"/>
      <c r="O1564" s="332"/>
      <c r="P1564" s="332"/>
      <c r="Q1564" s="332"/>
      <c r="R1564" s="332"/>
      <c r="S1564" s="332"/>
      <c r="T1564" s="332"/>
    </row>
    <row r="1565" spans="1:20" x14ac:dyDescent="0.6">
      <c r="A1565" s="334"/>
      <c r="B1565" s="610"/>
      <c r="C1565" s="365"/>
      <c r="D1565" s="364"/>
      <c r="E1565" s="363"/>
      <c r="F1565" s="363"/>
      <c r="G1565" s="364"/>
      <c r="H1565" s="363"/>
      <c r="I1565" s="363"/>
      <c r="J1565" s="364"/>
      <c r="K1565" s="363"/>
      <c r="L1565" s="363"/>
      <c r="M1565" s="737"/>
      <c r="N1565" s="332"/>
      <c r="O1565" s="332"/>
      <c r="P1565" s="332"/>
      <c r="Q1565" s="332"/>
      <c r="R1565" s="332"/>
      <c r="S1565" s="332"/>
      <c r="T1565" s="332"/>
    </row>
    <row r="1566" spans="1:20" x14ac:dyDescent="0.6">
      <c r="A1566" s="334"/>
      <c r="B1566" s="610"/>
      <c r="C1566" s="365"/>
      <c r="D1566" s="364"/>
      <c r="E1566" s="363"/>
      <c r="F1566" s="363"/>
      <c r="G1566" s="364"/>
      <c r="H1566" s="363"/>
      <c r="I1566" s="363"/>
      <c r="J1566" s="364"/>
      <c r="K1566" s="363"/>
      <c r="L1566" s="363"/>
      <c r="M1566" s="737"/>
      <c r="N1566" s="332"/>
      <c r="O1566" s="332"/>
      <c r="P1566" s="332"/>
      <c r="Q1566" s="332"/>
      <c r="R1566" s="332"/>
      <c r="S1566" s="332"/>
      <c r="T1566" s="332"/>
    </row>
    <row r="1567" spans="1:20" x14ac:dyDescent="0.6">
      <c r="A1567" s="334"/>
      <c r="B1567" s="610"/>
      <c r="C1567" s="365"/>
      <c r="D1567" s="364"/>
      <c r="E1567" s="363"/>
      <c r="F1567" s="363"/>
      <c r="G1567" s="364"/>
      <c r="H1567" s="363"/>
      <c r="I1567" s="363"/>
      <c r="J1567" s="364"/>
      <c r="K1567" s="363"/>
      <c r="L1567" s="363"/>
      <c r="M1567" s="737"/>
      <c r="N1567" s="332"/>
      <c r="O1567" s="332"/>
      <c r="P1567" s="332"/>
      <c r="Q1567" s="332"/>
      <c r="R1567" s="332"/>
      <c r="S1567" s="332"/>
      <c r="T1567" s="332"/>
    </row>
    <row r="1568" spans="1:20" x14ac:dyDescent="0.6">
      <c r="A1568" s="334"/>
      <c r="B1568" s="610"/>
      <c r="C1568" s="365"/>
      <c r="D1568" s="364"/>
      <c r="E1568" s="363"/>
      <c r="F1568" s="363"/>
      <c r="G1568" s="364"/>
      <c r="H1568" s="363"/>
      <c r="I1568" s="363"/>
      <c r="J1568" s="364"/>
      <c r="K1568" s="363"/>
      <c r="L1568" s="363"/>
      <c r="M1568" s="737"/>
      <c r="N1568" s="332"/>
      <c r="O1568" s="332"/>
      <c r="P1568" s="332"/>
      <c r="Q1568" s="332"/>
      <c r="R1568" s="332"/>
      <c r="S1568" s="332"/>
      <c r="T1568" s="332"/>
    </row>
    <row r="1569" spans="1:20" x14ac:dyDescent="0.6">
      <c r="A1569" s="334"/>
      <c r="B1569" s="610"/>
      <c r="C1569" s="365"/>
      <c r="D1569" s="364"/>
      <c r="E1569" s="363"/>
      <c r="F1569" s="363"/>
      <c r="G1569" s="364"/>
      <c r="H1569" s="363"/>
      <c r="I1569" s="363"/>
      <c r="J1569" s="364"/>
      <c r="K1569" s="363"/>
      <c r="L1569" s="363"/>
      <c r="M1569" s="737"/>
      <c r="N1569" s="332"/>
      <c r="O1569" s="332"/>
      <c r="P1569" s="332"/>
      <c r="Q1569" s="332"/>
      <c r="R1569" s="332"/>
      <c r="S1569" s="332"/>
      <c r="T1569" s="332"/>
    </row>
    <row r="1570" spans="1:20" x14ac:dyDescent="0.6">
      <c r="A1570" s="334"/>
      <c r="B1570" s="610"/>
      <c r="C1570" s="365"/>
      <c r="D1570" s="364"/>
      <c r="E1570" s="363"/>
      <c r="F1570" s="363"/>
      <c r="G1570" s="364"/>
      <c r="H1570" s="363"/>
      <c r="I1570" s="363"/>
      <c r="J1570" s="364"/>
      <c r="K1570" s="363"/>
      <c r="L1570" s="363"/>
      <c r="M1570" s="737"/>
      <c r="N1570" s="332"/>
      <c r="O1570" s="332"/>
      <c r="P1570" s="332"/>
      <c r="Q1570" s="332"/>
      <c r="R1570" s="332"/>
      <c r="S1570" s="332"/>
      <c r="T1570" s="332"/>
    </row>
    <row r="1571" spans="1:20" x14ac:dyDescent="0.6">
      <c r="A1571" s="334"/>
      <c r="B1571" s="610"/>
      <c r="C1571" s="365"/>
      <c r="D1571" s="364"/>
      <c r="E1571" s="363"/>
      <c r="F1571" s="363"/>
      <c r="G1571" s="364"/>
      <c r="H1571" s="363"/>
      <c r="I1571" s="363"/>
      <c r="J1571" s="364"/>
      <c r="K1571" s="363"/>
      <c r="L1571" s="363"/>
      <c r="M1571" s="737"/>
      <c r="N1571" s="332"/>
      <c r="O1571" s="332"/>
      <c r="P1571" s="332"/>
      <c r="Q1571" s="332"/>
      <c r="R1571" s="332"/>
      <c r="S1571" s="332"/>
      <c r="T1571" s="332"/>
    </row>
    <row r="1572" spans="1:20" x14ac:dyDescent="0.6">
      <c r="A1572" s="334"/>
      <c r="B1572" s="610"/>
      <c r="C1572" s="365"/>
      <c r="D1572" s="364"/>
      <c r="E1572" s="363"/>
      <c r="F1572" s="363"/>
      <c r="G1572" s="364"/>
      <c r="H1572" s="363"/>
      <c r="I1572" s="363"/>
      <c r="J1572" s="364"/>
      <c r="K1572" s="363"/>
      <c r="L1572" s="363"/>
      <c r="M1572" s="737"/>
      <c r="N1572" s="332"/>
      <c r="O1572" s="332"/>
      <c r="P1572" s="332"/>
      <c r="Q1572" s="332"/>
      <c r="R1572" s="332"/>
      <c r="S1572" s="332"/>
      <c r="T1572" s="332"/>
    </row>
    <row r="1573" spans="1:20" x14ac:dyDescent="0.6">
      <c r="A1573" s="334"/>
      <c r="B1573" s="610"/>
      <c r="C1573" s="365"/>
      <c r="D1573" s="364"/>
      <c r="E1573" s="363"/>
      <c r="F1573" s="363"/>
      <c r="G1573" s="364"/>
      <c r="H1573" s="363"/>
      <c r="I1573" s="363"/>
      <c r="J1573" s="364"/>
      <c r="K1573" s="363"/>
      <c r="L1573" s="363"/>
      <c r="M1573" s="737"/>
      <c r="N1573" s="332"/>
      <c r="O1573" s="332"/>
      <c r="P1573" s="332"/>
      <c r="Q1573" s="332"/>
      <c r="R1573" s="332"/>
      <c r="S1573" s="332"/>
      <c r="T1573" s="332"/>
    </row>
    <row r="1574" spans="1:20" x14ac:dyDescent="0.6">
      <c r="A1574" s="334"/>
      <c r="B1574" s="610"/>
      <c r="C1574" s="365"/>
      <c r="D1574" s="364"/>
      <c r="E1574" s="363"/>
      <c r="F1574" s="363"/>
      <c r="G1574" s="364"/>
      <c r="H1574" s="363"/>
      <c r="I1574" s="363"/>
      <c r="J1574" s="364"/>
      <c r="K1574" s="363"/>
      <c r="L1574" s="363"/>
      <c r="M1574" s="737"/>
      <c r="N1574" s="332"/>
      <c r="O1574" s="332"/>
      <c r="P1574" s="332"/>
      <c r="Q1574" s="332"/>
      <c r="R1574" s="332"/>
      <c r="S1574" s="332"/>
      <c r="T1574" s="332"/>
    </row>
    <row r="1575" spans="1:20" x14ac:dyDescent="0.6">
      <c r="A1575" s="334"/>
      <c r="B1575" s="610"/>
      <c r="C1575" s="365"/>
      <c r="D1575" s="364"/>
      <c r="E1575" s="363"/>
      <c r="F1575" s="363"/>
      <c r="G1575" s="364"/>
      <c r="H1575" s="363"/>
      <c r="I1575" s="363"/>
      <c r="J1575" s="364"/>
      <c r="K1575" s="363"/>
      <c r="L1575" s="363"/>
      <c r="M1575" s="737"/>
      <c r="N1575" s="332"/>
      <c r="O1575" s="332"/>
      <c r="P1575" s="332"/>
      <c r="Q1575" s="332"/>
      <c r="R1575" s="332"/>
      <c r="S1575" s="332"/>
      <c r="T1575" s="332"/>
    </row>
    <row r="1576" spans="1:20" x14ac:dyDescent="0.6">
      <c r="A1576" s="334"/>
      <c r="B1576" s="610"/>
      <c r="C1576" s="365"/>
      <c r="D1576" s="364"/>
      <c r="E1576" s="363"/>
      <c r="F1576" s="363"/>
      <c r="G1576" s="364"/>
      <c r="H1576" s="363"/>
      <c r="I1576" s="363"/>
      <c r="J1576" s="364"/>
      <c r="K1576" s="363"/>
      <c r="L1576" s="363"/>
      <c r="M1576" s="737"/>
      <c r="N1576" s="332"/>
      <c r="O1576" s="332"/>
      <c r="P1576" s="332"/>
      <c r="Q1576" s="332"/>
      <c r="R1576" s="332"/>
      <c r="S1576" s="332"/>
      <c r="T1576" s="332"/>
    </row>
    <row r="1577" spans="1:20" x14ac:dyDescent="0.6">
      <c r="A1577" s="334"/>
      <c r="B1577" s="610"/>
      <c r="C1577" s="365"/>
      <c r="D1577" s="364"/>
      <c r="E1577" s="363"/>
      <c r="F1577" s="363"/>
      <c r="G1577" s="364"/>
      <c r="H1577" s="363"/>
      <c r="I1577" s="363"/>
      <c r="J1577" s="364"/>
      <c r="K1577" s="363"/>
      <c r="L1577" s="363"/>
      <c r="M1577" s="737"/>
      <c r="N1577" s="332"/>
      <c r="O1577" s="332"/>
      <c r="P1577" s="332"/>
      <c r="Q1577" s="332"/>
      <c r="R1577" s="332"/>
      <c r="S1577" s="332"/>
      <c r="T1577" s="332"/>
    </row>
    <row r="1578" spans="1:20" x14ac:dyDescent="0.6">
      <c r="A1578" s="334"/>
      <c r="B1578" s="610"/>
      <c r="C1578" s="365"/>
      <c r="D1578" s="364"/>
      <c r="E1578" s="363"/>
      <c r="F1578" s="363"/>
      <c r="G1578" s="364"/>
      <c r="H1578" s="363"/>
      <c r="I1578" s="363"/>
      <c r="J1578" s="364"/>
      <c r="K1578" s="363"/>
      <c r="L1578" s="363"/>
      <c r="M1578" s="737"/>
      <c r="N1578" s="332"/>
      <c r="O1578" s="332"/>
      <c r="P1578" s="332"/>
      <c r="Q1578" s="332"/>
      <c r="R1578" s="332"/>
      <c r="S1578" s="332"/>
      <c r="T1578" s="332"/>
    </row>
    <row r="1579" spans="1:20" x14ac:dyDescent="0.6">
      <c r="A1579" s="334"/>
      <c r="B1579" s="610"/>
      <c r="C1579" s="365"/>
      <c r="D1579" s="364"/>
      <c r="E1579" s="363"/>
      <c r="F1579" s="363"/>
      <c r="G1579" s="364"/>
      <c r="H1579" s="363"/>
      <c r="I1579" s="363"/>
      <c r="J1579" s="364"/>
      <c r="K1579" s="363"/>
      <c r="L1579" s="363"/>
      <c r="M1579" s="737"/>
      <c r="N1579" s="332"/>
      <c r="O1579" s="332"/>
      <c r="P1579" s="332"/>
      <c r="Q1579" s="332"/>
      <c r="R1579" s="332"/>
      <c r="S1579" s="332"/>
      <c r="T1579" s="332"/>
    </row>
    <row r="1580" spans="1:20" x14ac:dyDescent="0.6">
      <c r="A1580" s="334"/>
      <c r="B1580" s="610"/>
      <c r="C1580" s="365"/>
      <c r="D1580" s="364"/>
      <c r="E1580" s="363"/>
      <c r="F1580" s="363"/>
      <c r="G1580" s="364"/>
      <c r="H1580" s="363"/>
      <c r="I1580" s="363"/>
      <c r="J1580" s="364"/>
      <c r="K1580" s="363"/>
      <c r="L1580" s="363"/>
      <c r="M1580" s="737"/>
      <c r="N1580" s="332"/>
      <c r="O1580" s="332"/>
      <c r="P1580" s="332"/>
      <c r="Q1580" s="332"/>
      <c r="R1580" s="332"/>
      <c r="S1580" s="332"/>
      <c r="T1580" s="332"/>
    </row>
    <row r="1581" spans="1:20" x14ac:dyDescent="0.6">
      <c r="A1581" s="334"/>
      <c r="B1581" s="610"/>
      <c r="C1581" s="365"/>
      <c r="D1581" s="364"/>
      <c r="E1581" s="363"/>
      <c r="F1581" s="363"/>
      <c r="G1581" s="364"/>
      <c r="H1581" s="363"/>
      <c r="I1581" s="363"/>
      <c r="J1581" s="364"/>
      <c r="K1581" s="363"/>
      <c r="L1581" s="363"/>
      <c r="M1581" s="737"/>
      <c r="N1581" s="332"/>
      <c r="O1581" s="332"/>
      <c r="P1581" s="332"/>
      <c r="Q1581" s="332"/>
      <c r="R1581" s="332"/>
      <c r="S1581" s="332"/>
      <c r="T1581" s="332"/>
    </row>
    <row r="1582" spans="1:20" x14ac:dyDescent="0.6">
      <c r="A1582" s="334"/>
      <c r="B1582" s="610"/>
      <c r="C1582" s="365"/>
      <c r="D1582" s="364"/>
      <c r="E1582" s="363"/>
      <c r="F1582" s="363"/>
      <c r="G1582" s="364"/>
      <c r="H1582" s="363"/>
      <c r="I1582" s="363"/>
      <c r="J1582" s="364"/>
      <c r="K1582" s="363"/>
      <c r="L1582" s="363"/>
      <c r="M1582" s="737"/>
      <c r="N1582" s="332"/>
      <c r="O1582" s="332"/>
      <c r="P1582" s="332"/>
      <c r="Q1582" s="332"/>
      <c r="R1582" s="332"/>
      <c r="S1582" s="332"/>
      <c r="T1582" s="332"/>
    </row>
    <row r="1583" spans="1:20" x14ac:dyDescent="0.6">
      <c r="A1583" s="334"/>
      <c r="B1583" s="610"/>
      <c r="C1583" s="365"/>
      <c r="D1583" s="364"/>
      <c r="E1583" s="363"/>
      <c r="F1583" s="363"/>
      <c r="G1583" s="364"/>
      <c r="H1583" s="363"/>
      <c r="I1583" s="363"/>
      <c r="J1583" s="364"/>
      <c r="K1583" s="363"/>
      <c r="L1583" s="363"/>
      <c r="M1583" s="737"/>
      <c r="N1583" s="332"/>
      <c r="O1583" s="332"/>
      <c r="P1583" s="332"/>
      <c r="Q1583" s="332"/>
      <c r="R1583" s="332"/>
      <c r="S1583" s="332"/>
      <c r="T1583" s="332"/>
    </row>
    <row r="1584" spans="1:20" x14ac:dyDescent="0.6">
      <c r="A1584" s="334"/>
      <c r="B1584" s="610"/>
      <c r="C1584" s="365"/>
      <c r="D1584" s="364"/>
      <c r="E1584" s="363"/>
      <c r="F1584" s="363"/>
      <c r="G1584" s="364"/>
      <c r="H1584" s="363"/>
      <c r="I1584" s="363"/>
      <c r="J1584" s="364"/>
      <c r="K1584" s="363"/>
      <c r="L1584" s="363"/>
      <c r="M1584" s="737"/>
      <c r="N1584" s="332"/>
      <c r="O1584" s="332"/>
      <c r="P1584" s="332"/>
      <c r="Q1584" s="332"/>
      <c r="R1584" s="332"/>
      <c r="S1584" s="332"/>
      <c r="T1584" s="332"/>
    </row>
    <row r="1585" spans="1:20" x14ac:dyDescent="0.6">
      <c r="A1585" s="334"/>
      <c r="B1585" s="610"/>
      <c r="C1585" s="365"/>
      <c r="D1585" s="364"/>
      <c r="E1585" s="363"/>
      <c r="F1585" s="363"/>
      <c r="G1585" s="364"/>
      <c r="H1585" s="363"/>
      <c r="I1585" s="363"/>
      <c r="J1585" s="364"/>
      <c r="K1585" s="363"/>
      <c r="L1585" s="363"/>
      <c r="M1585" s="737"/>
      <c r="N1585" s="332"/>
      <c r="O1585" s="332"/>
      <c r="P1585" s="332"/>
      <c r="Q1585" s="332"/>
      <c r="R1585" s="332"/>
      <c r="S1585" s="332"/>
      <c r="T1585" s="332"/>
    </row>
    <row r="1586" spans="1:20" x14ac:dyDescent="0.6">
      <c r="A1586" s="334"/>
      <c r="B1586" s="610"/>
      <c r="C1586" s="365"/>
      <c r="D1586" s="364"/>
      <c r="E1586" s="363"/>
      <c r="F1586" s="363"/>
      <c r="G1586" s="364"/>
      <c r="H1586" s="363"/>
      <c r="I1586" s="363"/>
      <c r="J1586" s="364"/>
      <c r="K1586" s="363"/>
      <c r="L1586" s="363"/>
      <c r="M1586" s="737"/>
      <c r="N1586" s="332"/>
      <c r="O1586" s="332"/>
      <c r="P1586" s="332"/>
      <c r="Q1586" s="332"/>
      <c r="R1586" s="332"/>
      <c r="S1586" s="332"/>
      <c r="T1586" s="332"/>
    </row>
    <row r="1587" spans="1:20" x14ac:dyDescent="0.6">
      <c r="A1587" s="334"/>
      <c r="B1587" s="610"/>
      <c r="C1587" s="365"/>
      <c r="D1587" s="364"/>
      <c r="E1587" s="363"/>
      <c r="F1587" s="363"/>
      <c r="G1587" s="364"/>
      <c r="H1587" s="363"/>
      <c r="I1587" s="363"/>
      <c r="J1587" s="364"/>
      <c r="K1587" s="363"/>
      <c r="L1587" s="363"/>
      <c r="M1587" s="737"/>
      <c r="N1587" s="332"/>
      <c r="O1587" s="332"/>
      <c r="P1587" s="332"/>
      <c r="Q1587" s="332"/>
      <c r="R1587" s="332"/>
      <c r="S1587" s="332"/>
      <c r="T1587" s="332"/>
    </row>
    <row r="1588" spans="1:20" x14ac:dyDescent="0.6">
      <c r="A1588" s="334"/>
      <c r="B1588" s="610"/>
      <c r="C1588" s="365"/>
      <c r="D1588" s="364"/>
      <c r="E1588" s="363"/>
      <c r="F1588" s="363"/>
      <c r="G1588" s="364"/>
      <c r="H1588" s="363"/>
      <c r="I1588" s="363"/>
      <c r="J1588" s="364"/>
      <c r="K1588" s="363"/>
      <c r="L1588" s="363"/>
      <c r="M1588" s="737"/>
      <c r="N1588" s="332"/>
      <c r="O1588" s="332"/>
      <c r="P1588" s="332"/>
      <c r="Q1588" s="332"/>
      <c r="R1588" s="332"/>
      <c r="S1588" s="332"/>
      <c r="T1588" s="332"/>
    </row>
    <row r="1589" spans="1:20" x14ac:dyDescent="0.6">
      <c r="A1589" s="334"/>
      <c r="B1589" s="610"/>
      <c r="C1589" s="365"/>
      <c r="D1589" s="364"/>
      <c r="E1589" s="363"/>
      <c r="F1589" s="363"/>
      <c r="G1589" s="364"/>
      <c r="H1589" s="363"/>
      <c r="I1589" s="363"/>
      <c r="J1589" s="364"/>
      <c r="K1589" s="363"/>
      <c r="L1589" s="363"/>
      <c r="M1589" s="737"/>
      <c r="N1589" s="332"/>
      <c r="O1589" s="332"/>
      <c r="P1589" s="332"/>
      <c r="Q1589" s="332"/>
      <c r="R1589" s="332"/>
      <c r="S1589" s="332"/>
      <c r="T1589" s="332"/>
    </row>
    <row r="1590" spans="1:20" x14ac:dyDescent="0.6">
      <c r="A1590" s="334"/>
      <c r="B1590" s="610"/>
      <c r="C1590" s="365"/>
      <c r="D1590" s="364"/>
      <c r="E1590" s="363"/>
      <c r="F1590" s="363"/>
      <c r="G1590" s="364"/>
      <c r="H1590" s="363"/>
      <c r="I1590" s="363"/>
      <c r="J1590" s="364"/>
      <c r="K1590" s="363"/>
      <c r="L1590" s="363"/>
      <c r="M1590" s="737"/>
      <c r="N1590" s="332"/>
      <c r="O1590" s="332"/>
      <c r="P1590" s="332"/>
      <c r="Q1590" s="332"/>
      <c r="R1590" s="332"/>
      <c r="S1590" s="332"/>
      <c r="T1590" s="332"/>
    </row>
    <row r="1591" spans="1:20" x14ac:dyDescent="0.6">
      <c r="A1591" s="334"/>
      <c r="B1591" s="610"/>
      <c r="C1591" s="365"/>
      <c r="D1591" s="364"/>
      <c r="E1591" s="363"/>
      <c r="F1591" s="363"/>
      <c r="G1591" s="364"/>
      <c r="H1591" s="363"/>
      <c r="I1591" s="363"/>
      <c r="J1591" s="364"/>
      <c r="K1591" s="363"/>
      <c r="L1591" s="363"/>
      <c r="M1591" s="737"/>
      <c r="N1591" s="332"/>
      <c r="O1591" s="332"/>
      <c r="P1591" s="332"/>
      <c r="Q1591" s="332"/>
      <c r="R1591" s="332"/>
      <c r="S1591" s="332"/>
      <c r="T1591" s="332"/>
    </row>
    <row r="1592" spans="1:20" x14ac:dyDescent="0.6">
      <c r="A1592" s="334"/>
      <c r="B1592" s="610"/>
      <c r="C1592" s="365"/>
      <c r="D1592" s="364"/>
      <c r="E1592" s="363"/>
      <c r="F1592" s="363"/>
      <c r="G1592" s="364"/>
      <c r="H1592" s="363"/>
      <c r="I1592" s="363"/>
      <c r="J1592" s="364"/>
      <c r="K1592" s="363"/>
      <c r="L1592" s="363"/>
      <c r="M1592" s="737"/>
      <c r="N1592" s="332"/>
      <c r="O1592" s="332"/>
      <c r="P1592" s="332"/>
      <c r="Q1592" s="332"/>
      <c r="R1592" s="332"/>
      <c r="S1592" s="332"/>
      <c r="T1592" s="332"/>
    </row>
    <row r="1593" spans="1:20" x14ac:dyDescent="0.6">
      <c r="A1593" s="334"/>
      <c r="B1593" s="610"/>
      <c r="C1593" s="365"/>
      <c r="D1593" s="364"/>
      <c r="E1593" s="363"/>
      <c r="F1593" s="363"/>
      <c r="G1593" s="364"/>
      <c r="H1593" s="363"/>
      <c r="I1593" s="363"/>
      <c r="J1593" s="364"/>
      <c r="K1593" s="363"/>
      <c r="L1593" s="363"/>
      <c r="M1593" s="737"/>
      <c r="N1593" s="332"/>
      <c r="O1593" s="332"/>
      <c r="P1593" s="332"/>
      <c r="Q1593" s="332"/>
      <c r="R1593" s="332"/>
      <c r="S1593" s="332"/>
      <c r="T1593" s="332"/>
    </row>
    <row r="1594" spans="1:20" x14ac:dyDescent="0.6">
      <c r="A1594" s="334"/>
      <c r="B1594" s="610"/>
      <c r="C1594" s="365"/>
      <c r="D1594" s="364"/>
      <c r="E1594" s="363"/>
      <c r="F1594" s="363"/>
      <c r="G1594" s="364"/>
      <c r="H1594" s="363"/>
      <c r="I1594" s="363"/>
      <c r="J1594" s="364"/>
      <c r="K1594" s="363"/>
      <c r="L1594" s="363"/>
      <c r="M1594" s="737"/>
      <c r="N1594" s="332"/>
      <c r="O1594" s="332"/>
      <c r="P1594" s="332"/>
      <c r="Q1594" s="332"/>
      <c r="R1594" s="332"/>
      <c r="S1594" s="332"/>
      <c r="T1594" s="332"/>
    </row>
    <row r="1595" spans="1:20" x14ac:dyDescent="0.6">
      <c r="A1595" s="334"/>
      <c r="B1595" s="610"/>
      <c r="C1595" s="365"/>
      <c r="D1595" s="364"/>
      <c r="E1595" s="363"/>
      <c r="F1595" s="363"/>
      <c r="G1595" s="364"/>
      <c r="H1595" s="363"/>
      <c r="I1595" s="363"/>
      <c r="J1595" s="364"/>
      <c r="K1595" s="363"/>
      <c r="L1595" s="363"/>
      <c r="M1595" s="737"/>
      <c r="N1595" s="332"/>
      <c r="O1595" s="332"/>
      <c r="P1595" s="332"/>
      <c r="Q1595" s="332"/>
      <c r="R1595" s="332"/>
      <c r="S1595" s="332"/>
      <c r="T1595" s="332"/>
    </row>
    <row r="1596" spans="1:20" x14ac:dyDescent="0.6">
      <c r="A1596" s="334"/>
      <c r="B1596" s="610"/>
      <c r="C1596" s="365"/>
      <c r="D1596" s="364"/>
      <c r="E1596" s="363"/>
      <c r="F1596" s="363"/>
      <c r="G1596" s="364"/>
      <c r="H1596" s="363"/>
      <c r="I1596" s="363"/>
      <c r="J1596" s="364"/>
      <c r="K1596" s="363"/>
      <c r="L1596" s="363"/>
      <c r="M1596" s="737"/>
      <c r="N1596" s="332"/>
      <c r="O1596" s="332"/>
      <c r="P1596" s="332"/>
      <c r="Q1596" s="332"/>
      <c r="R1596" s="332"/>
      <c r="S1596" s="332"/>
      <c r="T1596" s="332"/>
    </row>
    <row r="1597" spans="1:20" x14ac:dyDescent="0.6">
      <c r="A1597" s="334"/>
      <c r="B1597" s="610"/>
      <c r="C1597" s="365"/>
      <c r="D1597" s="364"/>
      <c r="E1597" s="363"/>
      <c r="F1597" s="363"/>
      <c r="G1597" s="364"/>
      <c r="H1597" s="363"/>
      <c r="I1597" s="363"/>
      <c r="J1597" s="364"/>
      <c r="K1597" s="363"/>
      <c r="L1597" s="363"/>
      <c r="M1597" s="737"/>
      <c r="N1597" s="332"/>
      <c r="O1597" s="332"/>
      <c r="P1597" s="332"/>
      <c r="Q1597" s="332"/>
      <c r="R1597" s="332"/>
      <c r="S1597" s="332"/>
      <c r="T1597" s="332"/>
    </row>
    <row r="1598" spans="1:20" x14ac:dyDescent="0.6">
      <c r="A1598" s="334"/>
      <c r="B1598" s="610"/>
      <c r="C1598" s="365"/>
      <c r="D1598" s="364"/>
      <c r="E1598" s="363"/>
      <c r="F1598" s="363"/>
      <c r="G1598" s="364"/>
      <c r="H1598" s="363"/>
      <c r="I1598" s="363"/>
      <c r="J1598" s="364"/>
      <c r="K1598" s="363"/>
      <c r="L1598" s="363"/>
      <c r="M1598" s="737"/>
      <c r="N1598" s="332"/>
      <c r="O1598" s="332"/>
      <c r="P1598" s="332"/>
      <c r="Q1598" s="332"/>
      <c r="R1598" s="332"/>
      <c r="S1598" s="332"/>
      <c r="T1598" s="332"/>
    </row>
    <row r="1599" spans="1:20" x14ac:dyDescent="0.6">
      <c r="A1599" s="334"/>
      <c r="B1599" s="610"/>
      <c r="C1599" s="365"/>
      <c r="D1599" s="364"/>
      <c r="E1599" s="363"/>
      <c r="F1599" s="363"/>
      <c r="G1599" s="364"/>
      <c r="H1599" s="363"/>
      <c r="I1599" s="363"/>
      <c r="J1599" s="364"/>
      <c r="K1599" s="363"/>
      <c r="L1599" s="363"/>
      <c r="M1599" s="737"/>
      <c r="N1599" s="332"/>
      <c r="O1599" s="332"/>
      <c r="P1599" s="332"/>
      <c r="Q1599" s="332"/>
      <c r="R1599" s="332"/>
      <c r="S1599" s="332"/>
      <c r="T1599" s="332"/>
    </row>
    <row r="1600" spans="1:20" x14ac:dyDescent="0.6">
      <c r="A1600" s="334"/>
      <c r="B1600" s="610"/>
      <c r="C1600" s="365"/>
      <c r="D1600" s="364"/>
      <c r="E1600" s="363"/>
      <c r="F1600" s="363"/>
      <c r="G1600" s="364"/>
      <c r="H1600" s="363"/>
      <c r="I1600" s="363"/>
      <c r="J1600" s="364"/>
      <c r="K1600" s="363"/>
      <c r="L1600" s="363"/>
      <c r="M1600" s="737"/>
      <c r="N1600" s="332"/>
      <c r="O1600" s="332"/>
      <c r="P1600" s="332"/>
      <c r="Q1600" s="332"/>
      <c r="R1600" s="332"/>
      <c r="S1600" s="332"/>
      <c r="T1600" s="332"/>
    </row>
    <row r="1601" spans="1:20" x14ac:dyDescent="0.6">
      <c r="A1601" s="334"/>
      <c r="B1601" s="610"/>
      <c r="C1601" s="365"/>
      <c r="D1601" s="364"/>
      <c r="E1601" s="363"/>
      <c r="F1601" s="363"/>
      <c r="G1601" s="364"/>
      <c r="H1601" s="363"/>
      <c r="I1601" s="363"/>
      <c r="J1601" s="364"/>
      <c r="K1601" s="363"/>
      <c r="L1601" s="363"/>
      <c r="M1601" s="737"/>
      <c r="N1601" s="332"/>
      <c r="O1601" s="332"/>
      <c r="P1601" s="332"/>
      <c r="Q1601" s="332"/>
      <c r="R1601" s="332"/>
      <c r="S1601" s="332"/>
      <c r="T1601" s="332"/>
    </row>
    <row r="1602" spans="1:20" x14ac:dyDescent="0.6">
      <c r="A1602" s="334"/>
      <c r="B1602" s="610"/>
      <c r="C1602" s="365"/>
      <c r="D1602" s="364"/>
      <c r="E1602" s="363"/>
      <c r="F1602" s="363"/>
      <c r="G1602" s="364"/>
      <c r="H1602" s="363"/>
      <c r="I1602" s="363"/>
      <c r="J1602" s="364"/>
      <c r="K1602" s="363"/>
      <c r="L1602" s="363"/>
      <c r="M1602" s="737"/>
      <c r="N1602" s="332"/>
      <c r="O1602" s="332"/>
      <c r="P1602" s="332"/>
      <c r="Q1602" s="332"/>
      <c r="R1602" s="332"/>
      <c r="S1602" s="332"/>
      <c r="T1602" s="332"/>
    </row>
    <row r="1603" spans="1:20" x14ac:dyDescent="0.6">
      <c r="A1603" s="334"/>
      <c r="B1603" s="610"/>
      <c r="C1603" s="365"/>
      <c r="D1603" s="364"/>
      <c r="E1603" s="363"/>
      <c r="F1603" s="363"/>
      <c r="G1603" s="364"/>
      <c r="H1603" s="363"/>
      <c r="I1603" s="363"/>
      <c r="J1603" s="364"/>
      <c r="K1603" s="363"/>
      <c r="L1603" s="363"/>
      <c r="M1603" s="737"/>
      <c r="N1603" s="332"/>
      <c r="O1603" s="332"/>
      <c r="P1603" s="332"/>
      <c r="Q1603" s="332"/>
      <c r="R1603" s="332"/>
      <c r="S1603" s="332"/>
      <c r="T1603" s="332"/>
    </row>
    <row r="1604" spans="1:20" x14ac:dyDescent="0.6">
      <c r="A1604" s="334"/>
      <c r="B1604" s="610"/>
      <c r="C1604" s="365"/>
      <c r="D1604" s="364"/>
      <c r="E1604" s="363"/>
      <c r="F1604" s="363"/>
      <c r="G1604" s="364"/>
      <c r="H1604" s="363"/>
      <c r="I1604" s="363"/>
      <c r="J1604" s="364"/>
      <c r="K1604" s="363"/>
      <c r="L1604" s="363"/>
      <c r="M1604" s="737"/>
      <c r="N1604" s="332"/>
      <c r="O1604" s="332"/>
      <c r="P1604" s="332"/>
      <c r="Q1604" s="332"/>
      <c r="R1604" s="332"/>
      <c r="S1604" s="332"/>
      <c r="T1604" s="332"/>
    </row>
    <row r="1605" spans="1:20" x14ac:dyDescent="0.6">
      <c r="A1605" s="334"/>
      <c r="B1605" s="610"/>
      <c r="C1605" s="365"/>
      <c r="D1605" s="364"/>
      <c r="E1605" s="363"/>
      <c r="F1605" s="363"/>
      <c r="G1605" s="364"/>
      <c r="H1605" s="363"/>
      <c r="I1605" s="363"/>
      <c r="J1605" s="364"/>
      <c r="K1605" s="363"/>
      <c r="L1605" s="363"/>
      <c r="M1605" s="737"/>
      <c r="N1605" s="332"/>
      <c r="O1605" s="332"/>
      <c r="P1605" s="332"/>
      <c r="Q1605" s="332"/>
      <c r="R1605" s="332"/>
      <c r="S1605" s="332"/>
      <c r="T1605" s="332"/>
    </row>
    <row r="1606" spans="1:20" x14ac:dyDescent="0.6">
      <c r="A1606" s="334"/>
      <c r="B1606" s="610"/>
      <c r="C1606" s="365"/>
      <c r="D1606" s="364"/>
      <c r="E1606" s="363"/>
      <c r="F1606" s="363"/>
      <c r="G1606" s="364"/>
      <c r="H1606" s="363"/>
      <c r="I1606" s="363"/>
      <c r="J1606" s="364"/>
      <c r="K1606" s="363"/>
      <c r="L1606" s="363"/>
      <c r="M1606" s="737"/>
      <c r="N1606" s="332"/>
      <c r="O1606" s="332"/>
      <c r="P1606" s="332"/>
      <c r="Q1606" s="332"/>
      <c r="R1606" s="332"/>
      <c r="S1606" s="332"/>
      <c r="T1606" s="332"/>
    </row>
    <row r="1607" spans="1:20" x14ac:dyDescent="0.6">
      <c r="A1607" s="334"/>
      <c r="B1607" s="610"/>
      <c r="C1607" s="365"/>
      <c r="D1607" s="364"/>
      <c r="E1607" s="363"/>
      <c r="F1607" s="363"/>
      <c r="G1607" s="364"/>
      <c r="H1607" s="363"/>
      <c r="I1607" s="363"/>
      <c r="J1607" s="364"/>
      <c r="K1607" s="363"/>
      <c r="L1607" s="363"/>
      <c r="M1607" s="737"/>
      <c r="N1607" s="332"/>
      <c r="O1607" s="332"/>
      <c r="P1607" s="332"/>
      <c r="Q1607" s="332"/>
      <c r="R1607" s="332"/>
      <c r="S1607" s="332"/>
      <c r="T1607" s="332"/>
    </row>
    <row r="1608" spans="1:20" x14ac:dyDescent="0.6">
      <c r="A1608" s="334"/>
      <c r="B1608" s="610"/>
      <c r="C1608" s="365"/>
      <c r="D1608" s="364"/>
      <c r="E1608" s="363"/>
      <c r="F1608" s="363"/>
      <c r="G1608" s="364"/>
      <c r="H1608" s="363"/>
      <c r="I1608" s="363"/>
      <c r="J1608" s="364"/>
      <c r="K1608" s="363"/>
      <c r="L1608" s="363"/>
      <c r="M1608" s="737"/>
      <c r="N1608" s="332"/>
      <c r="O1608" s="332"/>
      <c r="P1608" s="332"/>
      <c r="Q1608" s="332"/>
      <c r="R1608" s="332"/>
      <c r="S1608" s="332"/>
      <c r="T1608" s="332"/>
    </row>
    <row r="1609" spans="1:20" x14ac:dyDescent="0.6">
      <c r="A1609" s="334"/>
      <c r="B1609" s="610"/>
      <c r="C1609" s="365"/>
      <c r="D1609" s="364"/>
      <c r="E1609" s="363"/>
      <c r="F1609" s="363"/>
      <c r="G1609" s="364"/>
      <c r="H1609" s="363"/>
      <c r="I1609" s="363"/>
      <c r="J1609" s="364"/>
      <c r="K1609" s="363"/>
      <c r="L1609" s="363"/>
      <c r="M1609" s="737"/>
      <c r="N1609" s="332"/>
      <c r="O1609" s="332"/>
      <c r="P1609" s="332"/>
      <c r="Q1609" s="332"/>
      <c r="R1609" s="332"/>
      <c r="S1609" s="332"/>
      <c r="T1609" s="332"/>
    </row>
    <row r="1610" spans="1:20" x14ac:dyDescent="0.6">
      <c r="A1610" s="334"/>
      <c r="B1610" s="610"/>
      <c r="C1610" s="365"/>
      <c r="D1610" s="364"/>
      <c r="E1610" s="363"/>
      <c r="F1610" s="363"/>
      <c r="G1610" s="364"/>
      <c r="H1610" s="363"/>
      <c r="I1610" s="363"/>
      <c r="J1610" s="364"/>
      <c r="K1610" s="363"/>
      <c r="L1610" s="363"/>
      <c r="M1610" s="737"/>
      <c r="N1610" s="332"/>
      <c r="O1610" s="332"/>
      <c r="P1610" s="332"/>
      <c r="Q1610" s="332"/>
      <c r="R1610" s="332"/>
      <c r="S1610" s="332"/>
      <c r="T1610" s="332"/>
    </row>
    <row r="1611" spans="1:20" x14ac:dyDescent="0.6">
      <c r="A1611" s="334"/>
      <c r="B1611" s="610"/>
      <c r="C1611" s="365"/>
      <c r="D1611" s="364"/>
      <c r="E1611" s="363"/>
      <c r="F1611" s="363"/>
      <c r="G1611" s="364"/>
      <c r="H1611" s="363"/>
      <c r="I1611" s="363"/>
      <c r="J1611" s="364"/>
      <c r="K1611" s="363"/>
      <c r="L1611" s="363"/>
      <c r="M1611" s="737"/>
      <c r="N1611" s="332"/>
      <c r="O1611" s="332"/>
      <c r="P1611" s="332"/>
      <c r="Q1611" s="332"/>
      <c r="R1611" s="332"/>
      <c r="S1611" s="332"/>
      <c r="T1611" s="332"/>
    </row>
    <row r="1612" spans="1:20" x14ac:dyDescent="0.6">
      <c r="A1612" s="334"/>
      <c r="B1612" s="610"/>
      <c r="C1612" s="365"/>
      <c r="D1612" s="364"/>
      <c r="E1612" s="363"/>
      <c r="F1612" s="363"/>
      <c r="G1612" s="364"/>
      <c r="H1612" s="363"/>
      <c r="I1612" s="363"/>
      <c r="J1612" s="364"/>
      <c r="K1612" s="363"/>
      <c r="L1612" s="363"/>
      <c r="M1612" s="737"/>
      <c r="N1612" s="332"/>
      <c r="O1612" s="332"/>
      <c r="P1612" s="332"/>
      <c r="Q1612" s="332"/>
      <c r="R1612" s="332"/>
      <c r="S1612" s="332"/>
      <c r="T1612" s="332"/>
    </row>
    <row r="1613" spans="1:20" x14ac:dyDescent="0.6">
      <c r="A1613" s="334"/>
      <c r="B1613" s="610"/>
      <c r="C1613" s="365"/>
      <c r="D1613" s="364"/>
      <c r="E1613" s="363"/>
      <c r="F1613" s="363"/>
      <c r="G1613" s="364"/>
      <c r="H1613" s="363"/>
      <c r="I1613" s="363"/>
      <c r="J1613" s="364"/>
      <c r="K1613" s="363"/>
      <c r="L1613" s="363"/>
      <c r="M1613" s="737"/>
      <c r="N1613" s="332"/>
      <c r="O1613" s="332"/>
      <c r="P1613" s="332"/>
      <c r="Q1613" s="332"/>
      <c r="R1613" s="332"/>
      <c r="S1613" s="332"/>
      <c r="T1613" s="332"/>
    </row>
    <row r="1614" spans="1:20" x14ac:dyDescent="0.6">
      <c r="A1614" s="334"/>
      <c r="B1614" s="610"/>
      <c r="C1614" s="365"/>
      <c r="D1614" s="364"/>
      <c r="E1614" s="363"/>
      <c r="F1614" s="363"/>
      <c r="G1614" s="364"/>
      <c r="H1614" s="363"/>
      <c r="I1614" s="363"/>
      <c r="J1614" s="364"/>
      <c r="K1614" s="363"/>
      <c r="L1614" s="363"/>
      <c r="M1614" s="737"/>
      <c r="N1614" s="332"/>
      <c r="O1614" s="332"/>
      <c r="P1614" s="332"/>
      <c r="Q1614" s="332"/>
      <c r="R1614" s="332"/>
      <c r="S1614" s="332"/>
      <c r="T1614" s="332"/>
    </row>
    <row r="1615" spans="1:20" x14ac:dyDescent="0.6">
      <c r="A1615" s="334"/>
      <c r="B1615" s="610"/>
      <c r="C1615" s="365"/>
      <c r="D1615" s="364"/>
      <c r="E1615" s="363"/>
      <c r="F1615" s="363"/>
      <c r="G1615" s="364"/>
      <c r="H1615" s="363"/>
      <c r="I1615" s="363"/>
      <c r="J1615" s="364"/>
      <c r="K1615" s="363"/>
      <c r="L1615" s="363"/>
      <c r="M1615" s="737"/>
      <c r="N1615" s="332"/>
      <c r="O1615" s="332"/>
      <c r="P1615" s="332"/>
      <c r="Q1615" s="332"/>
      <c r="R1615" s="332"/>
      <c r="S1615" s="332"/>
      <c r="T1615" s="332"/>
    </row>
    <row r="1616" spans="1:20" x14ac:dyDescent="0.6">
      <c r="A1616" s="334"/>
      <c r="B1616" s="610"/>
      <c r="C1616" s="365"/>
      <c r="D1616" s="364"/>
      <c r="E1616" s="363"/>
      <c r="F1616" s="363"/>
      <c r="G1616" s="364"/>
      <c r="H1616" s="363"/>
      <c r="I1616" s="363"/>
      <c r="J1616" s="364"/>
      <c r="K1616" s="363"/>
      <c r="L1616" s="363"/>
      <c r="M1616" s="737"/>
      <c r="N1616" s="332"/>
      <c r="O1616" s="332"/>
      <c r="P1616" s="332"/>
      <c r="Q1616" s="332"/>
      <c r="R1616" s="332"/>
      <c r="S1616" s="332"/>
      <c r="T1616" s="332"/>
    </row>
    <row r="1617" spans="1:20" x14ac:dyDescent="0.6">
      <c r="A1617" s="334"/>
      <c r="B1617" s="610"/>
      <c r="C1617" s="365"/>
      <c r="D1617" s="364"/>
      <c r="E1617" s="363"/>
      <c r="F1617" s="363"/>
      <c r="G1617" s="364"/>
      <c r="H1617" s="363"/>
      <c r="I1617" s="363"/>
      <c r="J1617" s="364"/>
      <c r="K1617" s="363"/>
      <c r="L1617" s="363"/>
      <c r="M1617" s="737"/>
      <c r="N1617" s="332"/>
      <c r="O1617" s="332"/>
      <c r="P1617" s="332"/>
      <c r="Q1617" s="332"/>
      <c r="R1617" s="332"/>
      <c r="S1617" s="332"/>
      <c r="T1617" s="332"/>
    </row>
    <row r="1618" spans="1:20" x14ac:dyDescent="0.6">
      <c r="A1618" s="334"/>
      <c r="B1618" s="610"/>
      <c r="C1618" s="365"/>
      <c r="D1618" s="364"/>
      <c r="E1618" s="363"/>
      <c r="F1618" s="363"/>
      <c r="G1618" s="364"/>
      <c r="H1618" s="363"/>
      <c r="I1618" s="363"/>
      <c r="J1618" s="364"/>
      <c r="K1618" s="363"/>
      <c r="L1618" s="363"/>
      <c r="M1618" s="737"/>
      <c r="N1618" s="332"/>
      <c r="O1618" s="332"/>
      <c r="P1618" s="332"/>
      <c r="Q1618" s="332"/>
      <c r="R1618" s="332"/>
      <c r="S1618" s="332"/>
      <c r="T1618" s="332"/>
    </row>
    <row r="1619" spans="1:20" x14ac:dyDescent="0.6">
      <c r="A1619" s="334"/>
      <c r="B1619" s="610"/>
      <c r="C1619" s="365"/>
      <c r="D1619" s="364"/>
      <c r="E1619" s="363"/>
      <c r="F1619" s="363"/>
      <c r="G1619" s="364"/>
      <c r="H1619" s="363"/>
      <c r="I1619" s="363"/>
      <c r="J1619" s="364"/>
      <c r="K1619" s="363"/>
      <c r="L1619" s="363"/>
      <c r="M1619" s="737"/>
      <c r="N1619" s="332"/>
      <c r="O1619" s="332"/>
      <c r="P1619" s="332"/>
      <c r="Q1619" s="332"/>
      <c r="R1619" s="332"/>
      <c r="S1619" s="332"/>
      <c r="T1619" s="332"/>
    </row>
    <row r="1620" spans="1:20" x14ac:dyDescent="0.6">
      <c r="A1620" s="334"/>
      <c r="B1620" s="610"/>
      <c r="C1620" s="365"/>
      <c r="D1620" s="364"/>
      <c r="E1620" s="363"/>
      <c r="F1620" s="363"/>
      <c r="G1620" s="364"/>
      <c r="H1620" s="363"/>
      <c r="I1620" s="363"/>
      <c r="J1620" s="364"/>
      <c r="K1620" s="363"/>
      <c r="L1620" s="363"/>
      <c r="M1620" s="737"/>
      <c r="N1620" s="332"/>
      <c r="O1620" s="332"/>
      <c r="P1620" s="332"/>
      <c r="Q1620" s="332"/>
      <c r="R1620" s="332"/>
      <c r="S1620" s="332"/>
      <c r="T1620" s="332"/>
    </row>
    <row r="1621" spans="1:20" x14ac:dyDescent="0.6">
      <c r="A1621" s="334"/>
      <c r="B1621" s="610"/>
      <c r="C1621" s="365"/>
      <c r="D1621" s="364"/>
      <c r="E1621" s="363"/>
      <c r="F1621" s="363"/>
      <c r="G1621" s="364"/>
      <c r="H1621" s="363"/>
      <c r="I1621" s="363"/>
      <c r="J1621" s="364"/>
      <c r="K1621" s="363"/>
      <c r="L1621" s="363"/>
      <c r="M1621" s="737"/>
      <c r="N1621" s="332"/>
      <c r="O1621" s="332"/>
      <c r="P1621" s="332"/>
      <c r="Q1621" s="332"/>
      <c r="R1621" s="332"/>
      <c r="S1621" s="332"/>
      <c r="T1621" s="332"/>
    </row>
    <row r="1622" spans="1:20" x14ac:dyDescent="0.6">
      <c r="A1622" s="334"/>
      <c r="B1622" s="610"/>
      <c r="C1622" s="365"/>
      <c r="D1622" s="364"/>
      <c r="E1622" s="363"/>
      <c r="F1622" s="363"/>
      <c r="G1622" s="364"/>
      <c r="H1622" s="363"/>
      <c r="I1622" s="363"/>
      <c r="J1622" s="364"/>
      <c r="K1622" s="363"/>
      <c r="L1622" s="363"/>
      <c r="M1622" s="737"/>
      <c r="N1622" s="332"/>
      <c r="O1622" s="332"/>
      <c r="P1622" s="332"/>
      <c r="Q1622" s="332"/>
      <c r="R1622" s="332"/>
      <c r="S1622" s="332"/>
      <c r="T1622" s="332"/>
    </row>
    <row r="1623" spans="1:20" x14ac:dyDescent="0.6">
      <c r="A1623" s="334"/>
      <c r="B1623" s="610"/>
      <c r="C1623" s="365"/>
      <c r="D1623" s="364"/>
      <c r="E1623" s="363"/>
      <c r="F1623" s="363"/>
      <c r="G1623" s="364"/>
      <c r="H1623" s="363"/>
      <c r="I1623" s="363"/>
      <c r="J1623" s="364"/>
      <c r="K1623" s="363"/>
      <c r="L1623" s="363"/>
      <c r="M1623" s="737"/>
      <c r="N1623" s="332"/>
      <c r="O1623" s="332"/>
      <c r="P1623" s="332"/>
      <c r="Q1623" s="332"/>
      <c r="R1623" s="332"/>
      <c r="S1623" s="332"/>
      <c r="T1623" s="332"/>
    </row>
    <row r="1624" spans="1:20" x14ac:dyDescent="0.6">
      <c r="A1624" s="334"/>
      <c r="B1624" s="610"/>
      <c r="C1624" s="365"/>
      <c r="D1624" s="364"/>
      <c r="E1624" s="363"/>
      <c r="F1624" s="363"/>
      <c r="G1624" s="364"/>
      <c r="H1624" s="363"/>
      <c r="I1624" s="363"/>
      <c r="J1624" s="364"/>
      <c r="K1624" s="363"/>
      <c r="L1624" s="363"/>
      <c r="M1624" s="737"/>
      <c r="N1624" s="332"/>
      <c r="O1624" s="332"/>
      <c r="P1624" s="332"/>
      <c r="Q1624" s="332"/>
      <c r="R1624" s="332"/>
      <c r="S1624" s="332"/>
      <c r="T1624" s="332"/>
    </row>
    <row r="1625" spans="1:20" x14ac:dyDescent="0.6">
      <c r="A1625" s="334"/>
      <c r="B1625" s="610"/>
      <c r="C1625" s="365"/>
      <c r="D1625" s="364"/>
      <c r="E1625" s="363"/>
      <c r="F1625" s="363"/>
      <c r="G1625" s="364"/>
      <c r="H1625" s="363"/>
      <c r="I1625" s="363"/>
      <c r="J1625" s="364"/>
      <c r="K1625" s="363"/>
      <c r="L1625" s="363"/>
      <c r="M1625" s="737"/>
      <c r="N1625" s="332"/>
      <c r="O1625" s="332"/>
      <c r="P1625" s="332"/>
      <c r="Q1625" s="332"/>
      <c r="R1625" s="332"/>
      <c r="S1625" s="332"/>
      <c r="T1625" s="332"/>
    </row>
    <row r="1626" spans="1:20" x14ac:dyDescent="0.6">
      <c r="A1626" s="334"/>
      <c r="B1626" s="610"/>
      <c r="C1626" s="365"/>
      <c r="D1626" s="364"/>
      <c r="E1626" s="363"/>
      <c r="F1626" s="363"/>
      <c r="G1626" s="364"/>
      <c r="H1626" s="363"/>
      <c r="I1626" s="363"/>
      <c r="J1626" s="364"/>
      <c r="K1626" s="363"/>
      <c r="L1626" s="363"/>
      <c r="M1626" s="737"/>
      <c r="N1626" s="332"/>
      <c r="O1626" s="332"/>
      <c r="P1626" s="332"/>
      <c r="Q1626" s="332"/>
      <c r="R1626" s="332"/>
      <c r="S1626" s="332"/>
      <c r="T1626" s="332"/>
    </row>
    <row r="1627" spans="1:20" x14ac:dyDescent="0.6">
      <c r="A1627" s="334"/>
      <c r="B1627" s="610"/>
      <c r="C1627" s="365"/>
      <c r="D1627" s="364"/>
      <c r="E1627" s="363"/>
      <c r="F1627" s="363"/>
      <c r="G1627" s="364"/>
      <c r="H1627" s="363"/>
      <c r="I1627" s="363"/>
      <c r="J1627" s="364"/>
      <c r="K1627" s="363"/>
      <c r="L1627" s="363"/>
      <c r="M1627" s="737"/>
      <c r="N1627" s="332"/>
      <c r="O1627" s="332"/>
      <c r="P1627" s="332"/>
      <c r="Q1627" s="332"/>
      <c r="R1627" s="332"/>
      <c r="S1627" s="332"/>
      <c r="T1627" s="332"/>
    </row>
    <row r="1628" spans="1:20" x14ac:dyDescent="0.6">
      <c r="A1628" s="334"/>
      <c r="B1628" s="610"/>
      <c r="C1628" s="365"/>
      <c r="D1628" s="364"/>
      <c r="E1628" s="363"/>
      <c r="F1628" s="363"/>
      <c r="G1628" s="364"/>
      <c r="H1628" s="363"/>
      <c r="I1628" s="363"/>
      <c r="J1628" s="364"/>
      <c r="K1628" s="363"/>
      <c r="L1628" s="363"/>
      <c r="M1628" s="737"/>
      <c r="N1628" s="332"/>
      <c r="O1628" s="332"/>
      <c r="P1628" s="332"/>
      <c r="Q1628" s="332"/>
      <c r="R1628" s="332"/>
      <c r="S1628" s="332"/>
      <c r="T1628" s="332"/>
    </row>
    <row r="1629" spans="1:20" x14ac:dyDescent="0.6">
      <c r="A1629" s="334"/>
      <c r="B1629" s="610"/>
      <c r="C1629" s="365"/>
      <c r="D1629" s="364"/>
      <c r="E1629" s="363"/>
      <c r="F1629" s="363"/>
      <c r="G1629" s="364"/>
      <c r="H1629" s="363"/>
      <c r="I1629" s="363"/>
      <c r="J1629" s="364"/>
      <c r="K1629" s="363"/>
      <c r="L1629" s="363"/>
      <c r="M1629" s="737"/>
      <c r="N1629" s="332"/>
      <c r="O1629" s="332"/>
      <c r="P1629" s="332"/>
      <c r="Q1629" s="332"/>
      <c r="R1629" s="332"/>
      <c r="S1629" s="332"/>
      <c r="T1629" s="332"/>
    </row>
    <row r="1630" spans="1:20" x14ac:dyDescent="0.6">
      <c r="A1630" s="334"/>
      <c r="B1630" s="610"/>
      <c r="C1630" s="365"/>
      <c r="D1630" s="364"/>
      <c r="E1630" s="363"/>
      <c r="F1630" s="363"/>
      <c r="G1630" s="364"/>
      <c r="H1630" s="363"/>
      <c r="I1630" s="363"/>
      <c r="J1630" s="364"/>
      <c r="K1630" s="363"/>
      <c r="L1630" s="363"/>
      <c r="M1630" s="737"/>
      <c r="N1630" s="332"/>
      <c r="O1630" s="332"/>
      <c r="P1630" s="332"/>
      <c r="Q1630" s="332"/>
      <c r="R1630" s="332"/>
      <c r="S1630" s="332"/>
      <c r="T1630" s="332"/>
    </row>
    <row r="1631" spans="1:20" x14ac:dyDescent="0.6">
      <c r="A1631" s="334"/>
      <c r="B1631" s="610"/>
      <c r="C1631" s="365"/>
      <c r="D1631" s="364"/>
      <c r="E1631" s="363"/>
      <c r="F1631" s="363"/>
      <c r="G1631" s="364"/>
      <c r="H1631" s="363"/>
      <c r="I1631" s="363"/>
      <c r="J1631" s="364"/>
      <c r="K1631" s="363"/>
      <c r="L1631" s="363"/>
      <c r="M1631" s="737"/>
      <c r="N1631" s="332"/>
      <c r="O1631" s="332"/>
      <c r="P1631" s="332"/>
      <c r="Q1631" s="332"/>
      <c r="R1631" s="332"/>
      <c r="S1631" s="332"/>
      <c r="T1631" s="332"/>
    </row>
    <row r="1632" spans="1:20" x14ac:dyDescent="0.6">
      <c r="A1632" s="334"/>
      <c r="B1632" s="610"/>
      <c r="C1632" s="365"/>
      <c r="D1632" s="364"/>
      <c r="E1632" s="363"/>
      <c r="F1632" s="363"/>
      <c r="G1632" s="364"/>
      <c r="H1632" s="363"/>
      <c r="I1632" s="363"/>
      <c r="J1632" s="364"/>
      <c r="K1632" s="363"/>
      <c r="L1632" s="363"/>
      <c r="M1632" s="737"/>
      <c r="N1632" s="332"/>
      <c r="O1632" s="332"/>
      <c r="P1632" s="332"/>
      <c r="Q1632" s="332"/>
      <c r="R1632" s="332"/>
      <c r="S1632" s="332"/>
      <c r="T1632" s="332"/>
    </row>
    <row r="1633" spans="1:20" x14ac:dyDescent="0.6">
      <c r="A1633" s="334"/>
      <c r="B1633" s="610"/>
      <c r="C1633" s="365"/>
      <c r="D1633" s="364"/>
      <c r="E1633" s="363"/>
      <c r="F1633" s="363"/>
      <c r="G1633" s="364"/>
      <c r="H1633" s="363"/>
      <c r="I1633" s="363"/>
      <c r="J1633" s="364"/>
      <c r="K1633" s="363"/>
      <c r="L1633" s="363"/>
      <c r="M1633" s="737"/>
      <c r="N1633" s="332"/>
      <c r="O1633" s="332"/>
      <c r="P1633" s="332"/>
      <c r="Q1633" s="332"/>
      <c r="R1633" s="332"/>
      <c r="S1633" s="332"/>
      <c r="T1633" s="332"/>
    </row>
    <row r="1634" spans="1:20" x14ac:dyDescent="0.6">
      <c r="A1634" s="334"/>
      <c r="B1634" s="610"/>
      <c r="C1634" s="365"/>
      <c r="D1634" s="364"/>
      <c r="E1634" s="363"/>
      <c r="F1634" s="363"/>
      <c r="G1634" s="364"/>
      <c r="H1634" s="363"/>
      <c r="I1634" s="363"/>
      <c r="J1634" s="364"/>
      <c r="K1634" s="363"/>
      <c r="L1634" s="363"/>
      <c r="M1634" s="737"/>
      <c r="N1634" s="332"/>
      <c r="O1634" s="332"/>
      <c r="P1634" s="332"/>
      <c r="Q1634" s="332"/>
      <c r="R1634" s="332"/>
      <c r="S1634" s="332"/>
      <c r="T1634" s="332"/>
    </row>
    <row r="1635" spans="1:20" x14ac:dyDescent="0.6">
      <c r="A1635" s="334"/>
      <c r="B1635" s="610"/>
      <c r="C1635" s="365"/>
      <c r="D1635" s="364"/>
      <c r="E1635" s="363"/>
      <c r="F1635" s="363"/>
      <c r="G1635" s="364"/>
      <c r="H1635" s="363"/>
      <c r="I1635" s="363"/>
      <c r="J1635" s="364"/>
      <c r="K1635" s="363"/>
      <c r="L1635" s="363"/>
      <c r="M1635" s="737"/>
      <c r="N1635" s="332"/>
      <c r="O1635" s="332"/>
      <c r="P1635" s="332"/>
      <c r="Q1635" s="332"/>
      <c r="R1635" s="332"/>
      <c r="S1635" s="332"/>
      <c r="T1635" s="332"/>
    </row>
    <row r="1636" spans="1:20" x14ac:dyDescent="0.6">
      <c r="A1636" s="334"/>
      <c r="B1636" s="610"/>
      <c r="C1636" s="365"/>
      <c r="D1636" s="364"/>
      <c r="E1636" s="363"/>
      <c r="F1636" s="363"/>
      <c r="G1636" s="364"/>
      <c r="H1636" s="363"/>
      <c r="I1636" s="363"/>
      <c r="J1636" s="364"/>
      <c r="K1636" s="363"/>
      <c r="L1636" s="363"/>
      <c r="M1636" s="737"/>
      <c r="N1636" s="332"/>
      <c r="O1636" s="332"/>
      <c r="P1636" s="332"/>
      <c r="Q1636" s="332"/>
      <c r="R1636" s="332"/>
      <c r="S1636" s="332"/>
      <c r="T1636" s="332"/>
    </row>
    <row r="1637" spans="1:20" x14ac:dyDescent="0.6">
      <c r="A1637" s="334"/>
      <c r="B1637" s="610"/>
      <c r="C1637" s="365"/>
      <c r="D1637" s="364"/>
      <c r="E1637" s="363"/>
      <c r="F1637" s="363"/>
      <c r="G1637" s="364"/>
      <c r="H1637" s="363"/>
      <c r="I1637" s="363"/>
      <c r="J1637" s="364"/>
      <c r="K1637" s="363"/>
      <c r="L1637" s="363"/>
      <c r="M1637" s="737"/>
      <c r="N1637" s="332"/>
      <c r="O1637" s="332"/>
      <c r="P1637" s="332"/>
      <c r="Q1637" s="332"/>
      <c r="R1637" s="332"/>
      <c r="S1637" s="332"/>
      <c r="T1637" s="332"/>
    </row>
    <row r="1638" spans="1:20" x14ac:dyDescent="0.6">
      <c r="A1638" s="334"/>
      <c r="B1638" s="610"/>
      <c r="C1638" s="365"/>
      <c r="D1638" s="364"/>
      <c r="E1638" s="363"/>
      <c r="F1638" s="363"/>
      <c r="G1638" s="364"/>
      <c r="H1638" s="363"/>
      <c r="I1638" s="363"/>
      <c r="J1638" s="364"/>
      <c r="K1638" s="363"/>
      <c r="L1638" s="363"/>
      <c r="M1638" s="737"/>
      <c r="N1638" s="332"/>
      <c r="O1638" s="332"/>
      <c r="P1638" s="332"/>
      <c r="Q1638" s="332"/>
      <c r="R1638" s="332"/>
      <c r="S1638" s="332"/>
      <c r="T1638" s="332"/>
    </row>
    <row r="1639" spans="1:20" x14ac:dyDescent="0.6">
      <c r="A1639" s="334"/>
      <c r="B1639" s="610"/>
      <c r="C1639" s="365"/>
      <c r="D1639" s="364"/>
      <c r="E1639" s="363"/>
      <c r="F1639" s="363"/>
      <c r="G1639" s="364"/>
      <c r="H1639" s="363"/>
      <c r="I1639" s="363"/>
      <c r="J1639" s="364"/>
      <c r="K1639" s="363"/>
      <c r="L1639" s="363"/>
      <c r="M1639" s="737"/>
      <c r="N1639" s="332"/>
      <c r="O1639" s="332"/>
      <c r="P1639" s="332"/>
      <c r="Q1639" s="332"/>
      <c r="R1639" s="332"/>
      <c r="S1639" s="332"/>
      <c r="T1639" s="332"/>
    </row>
    <row r="1640" spans="1:20" x14ac:dyDescent="0.6">
      <c r="A1640" s="334"/>
      <c r="B1640" s="610"/>
      <c r="C1640" s="365"/>
      <c r="D1640" s="364"/>
      <c r="E1640" s="363"/>
      <c r="F1640" s="363"/>
      <c r="G1640" s="364"/>
      <c r="H1640" s="363"/>
      <c r="I1640" s="363"/>
      <c r="J1640" s="364"/>
      <c r="K1640" s="363"/>
      <c r="L1640" s="363"/>
      <c r="M1640" s="737"/>
      <c r="N1640" s="332"/>
      <c r="O1640" s="332"/>
      <c r="P1640" s="332"/>
      <c r="Q1640" s="332"/>
      <c r="R1640" s="332"/>
      <c r="S1640" s="332"/>
      <c r="T1640" s="332"/>
    </row>
    <row r="1641" spans="1:20" x14ac:dyDescent="0.6">
      <c r="A1641" s="334"/>
      <c r="B1641" s="610"/>
      <c r="C1641" s="365"/>
      <c r="D1641" s="364"/>
      <c r="E1641" s="363"/>
      <c r="F1641" s="363"/>
      <c r="G1641" s="364"/>
      <c r="H1641" s="363"/>
      <c r="I1641" s="363"/>
      <c r="J1641" s="364"/>
      <c r="K1641" s="363"/>
      <c r="L1641" s="363"/>
      <c r="M1641" s="737"/>
      <c r="N1641" s="332"/>
      <c r="O1641" s="332"/>
      <c r="P1641" s="332"/>
      <c r="Q1641" s="332"/>
      <c r="R1641" s="332"/>
      <c r="S1641" s="332"/>
      <c r="T1641" s="332"/>
    </row>
    <row r="1642" spans="1:20" x14ac:dyDescent="0.6">
      <c r="A1642" s="334"/>
      <c r="B1642" s="610"/>
      <c r="C1642" s="365"/>
      <c r="D1642" s="364"/>
      <c r="E1642" s="363"/>
      <c r="F1642" s="363"/>
      <c r="G1642" s="364"/>
      <c r="H1642" s="363"/>
      <c r="I1642" s="363"/>
      <c r="J1642" s="364"/>
      <c r="K1642" s="363"/>
      <c r="L1642" s="363"/>
      <c r="M1642" s="737"/>
      <c r="N1642" s="332"/>
      <c r="O1642" s="332"/>
      <c r="P1642" s="332"/>
      <c r="Q1642" s="332"/>
      <c r="R1642" s="332"/>
      <c r="S1642" s="332"/>
      <c r="T1642" s="332"/>
    </row>
    <row r="1643" spans="1:20" x14ac:dyDescent="0.6">
      <c r="A1643" s="334"/>
      <c r="B1643" s="610"/>
      <c r="C1643" s="365"/>
      <c r="D1643" s="364"/>
      <c r="E1643" s="363"/>
      <c r="F1643" s="363"/>
      <c r="G1643" s="364"/>
      <c r="H1643" s="363"/>
      <c r="I1643" s="363"/>
      <c r="J1643" s="364"/>
      <c r="K1643" s="363"/>
      <c r="L1643" s="363"/>
      <c r="M1643" s="737"/>
      <c r="N1643" s="332"/>
      <c r="O1643" s="332"/>
      <c r="P1643" s="332"/>
      <c r="Q1643" s="332"/>
      <c r="R1643" s="332"/>
      <c r="S1643" s="332"/>
      <c r="T1643" s="332"/>
    </row>
    <row r="1644" spans="1:20" x14ac:dyDescent="0.6">
      <c r="A1644" s="334"/>
      <c r="B1644" s="610"/>
      <c r="C1644" s="365"/>
      <c r="D1644" s="364"/>
      <c r="E1644" s="363"/>
      <c r="F1644" s="363"/>
      <c r="G1644" s="364"/>
      <c r="H1644" s="363"/>
      <c r="I1644" s="363"/>
      <c r="J1644" s="364"/>
      <c r="K1644" s="363"/>
      <c r="L1644" s="363"/>
      <c r="M1644" s="737"/>
      <c r="N1644" s="332"/>
      <c r="O1644" s="332"/>
      <c r="P1644" s="332"/>
      <c r="Q1644" s="332"/>
      <c r="R1644" s="332"/>
      <c r="S1644" s="332"/>
      <c r="T1644" s="332"/>
    </row>
    <row r="1645" spans="1:20" x14ac:dyDescent="0.6">
      <c r="A1645" s="334"/>
      <c r="B1645" s="610"/>
      <c r="C1645" s="365"/>
      <c r="D1645" s="364"/>
      <c r="E1645" s="363"/>
      <c r="F1645" s="363"/>
      <c r="G1645" s="364"/>
      <c r="H1645" s="363"/>
      <c r="I1645" s="363"/>
      <c r="J1645" s="364"/>
      <c r="K1645" s="363"/>
      <c r="L1645" s="363"/>
      <c r="M1645" s="737"/>
      <c r="N1645" s="332"/>
      <c r="O1645" s="332"/>
      <c r="P1645" s="332"/>
      <c r="Q1645" s="332"/>
      <c r="R1645" s="332"/>
      <c r="S1645" s="332"/>
      <c r="T1645" s="332"/>
    </row>
    <row r="1646" spans="1:20" x14ac:dyDescent="0.6">
      <c r="A1646" s="334"/>
      <c r="B1646" s="610"/>
      <c r="C1646" s="365"/>
      <c r="D1646" s="364"/>
      <c r="E1646" s="363"/>
      <c r="F1646" s="363"/>
      <c r="G1646" s="364"/>
      <c r="H1646" s="363"/>
      <c r="I1646" s="363"/>
      <c r="J1646" s="364"/>
      <c r="K1646" s="363"/>
      <c r="L1646" s="363"/>
      <c r="M1646" s="737"/>
      <c r="N1646" s="332"/>
      <c r="O1646" s="332"/>
      <c r="P1646" s="332"/>
      <c r="Q1646" s="332"/>
      <c r="R1646" s="332"/>
      <c r="S1646" s="332"/>
      <c r="T1646" s="332"/>
    </row>
    <row r="1647" spans="1:20" x14ac:dyDescent="0.6">
      <c r="A1647" s="334"/>
      <c r="B1647" s="610"/>
      <c r="C1647" s="365"/>
      <c r="D1647" s="364"/>
      <c r="E1647" s="363"/>
      <c r="F1647" s="363"/>
      <c r="G1647" s="364"/>
      <c r="H1647" s="363"/>
      <c r="I1647" s="363"/>
      <c r="J1647" s="364"/>
      <c r="K1647" s="363"/>
      <c r="L1647" s="363"/>
      <c r="M1647" s="737"/>
      <c r="N1647" s="332"/>
      <c r="O1647" s="332"/>
      <c r="P1647" s="332"/>
      <c r="Q1647" s="332"/>
      <c r="R1647" s="332"/>
      <c r="S1647" s="332"/>
      <c r="T1647" s="332"/>
    </row>
    <row r="1648" spans="1:20" x14ac:dyDescent="0.6">
      <c r="A1648" s="334"/>
      <c r="B1648" s="610"/>
      <c r="C1648" s="365"/>
      <c r="D1648" s="364"/>
      <c r="E1648" s="363"/>
      <c r="F1648" s="363"/>
      <c r="G1648" s="364"/>
      <c r="H1648" s="363"/>
      <c r="I1648" s="363"/>
      <c r="J1648" s="364"/>
      <c r="K1648" s="363"/>
      <c r="L1648" s="363"/>
      <c r="M1648" s="737"/>
      <c r="N1648" s="332"/>
      <c r="O1648" s="332"/>
      <c r="P1648" s="332"/>
      <c r="Q1648" s="332"/>
      <c r="R1648" s="332"/>
      <c r="S1648" s="332"/>
      <c r="T1648" s="332"/>
    </row>
    <row r="1649" spans="1:20" x14ac:dyDescent="0.6">
      <c r="A1649" s="334"/>
      <c r="B1649" s="610"/>
      <c r="C1649" s="365"/>
      <c r="D1649" s="364"/>
      <c r="E1649" s="363"/>
      <c r="F1649" s="363"/>
      <c r="G1649" s="364"/>
      <c r="H1649" s="363"/>
      <c r="I1649" s="363"/>
      <c r="J1649" s="364"/>
      <c r="K1649" s="363"/>
      <c r="L1649" s="363"/>
      <c r="M1649" s="737"/>
      <c r="N1649" s="332"/>
      <c r="O1649" s="332"/>
      <c r="P1649" s="332"/>
      <c r="Q1649" s="332"/>
      <c r="R1649" s="332"/>
      <c r="S1649" s="332"/>
      <c r="T1649" s="332"/>
    </row>
    <row r="1650" spans="1:20" x14ac:dyDescent="0.6">
      <c r="A1650" s="334"/>
      <c r="B1650" s="610"/>
      <c r="C1650" s="365"/>
      <c r="D1650" s="364"/>
      <c r="E1650" s="363"/>
      <c r="F1650" s="363"/>
      <c r="G1650" s="364"/>
      <c r="H1650" s="363"/>
      <c r="I1650" s="363"/>
      <c r="J1650" s="364"/>
      <c r="K1650" s="363"/>
      <c r="L1650" s="363"/>
      <c r="M1650" s="737"/>
      <c r="N1650" s="332"/>
      <c r="O1650" s="332"/>
      <c r="P1650" s="332"/>
      <c r="Q1650" s="332"/>
      <c r="R1650" s="332"/>
      <c r="S1650" s="332"/>
      <c r="T1650" s="332"/>
    </row>
    <row r="1651" spans="1:20" x14ac:dyDescent="0.6">
      <c r="A1651" s="334"/>
      <c r="B1651" s="610"/>
      <c r="C1651" s="365"/>
      <c r="D1651" s="364"/>
      <c r="E1651" s="363"/>
      <c r="F1651" s="363"/>
      <c r="G1651" s="364"/>
      <c r="H1651" s="363"/>
      <c r="I1651" s="363"/>
      <c r="J1651" s="364"/>
      <c r="K1651" s="363"/>
      <c r="L1651" s="363"/>
      <c r="M1651" s="737"/>
      <c r="N1651" s="332"/>
      <c r="O1651" s="332"/>
      <c r="P1651" s="332"/>
      <c r="Q1651" s="332"/>
      <c r="R1651" s="332"/>
      <c r="S1651" s="332"/>
      <c r="T1651" s="332"/>
    </row>
    <row r="1652" spans="1:20" x14ac:dyDescent="0.6">
      <c r="A1652" s="334"/>
      <c r="B1652" s="610"/>
      <c r="C1652" s="365"/>
      <c r="D1652" s="364"/>
      <c r="E1652" s="363"/>
      <c r="F1652" s="363"/>
      <c r="G1652" s="364"/>
      <c r="H1652" s="363"/>
      <c r="I1652" s="363"/>
      <c r="J1652" s="364"/>
      <c r="K1652" s="363"/>
      <c r="L1652" s="363"/>
      <c r="M1652" s="737"/>
      <c r="N1652" s="332"/>
      <c r="O1652" s="332"/>
      <c r="P1652" s="332"/>
      <c r="Q1652" s="332"/>
      <c r="R1652" s="332"/>
      <c r="S1652" s="332"/>
      <c r="T1652" s="332"/>
    </row>
    <row r="1653" spans="1:20" x14ac:dyDescent="0.6">
      <c r="A1653" s="334"/>
      <c r="B1653" s="610"/>
      <c r="C1653" s="365"/>
      <c r="D1653" s="364"/>
      <c r="E1653" s="363"/>
      <c r="F1653" s="363"/>
      <c r="G1653" s="364"/>
      <c r="H1653" s="363"/>
      <c r="I1653" s="363"/>
      <c r="J1653" s="364"/>
      <c r="K1653" s="363"/>
      <c r="L1653" s="363"/>
      <c r="M1653" s="737"/>
      <c r="N1653" s="332"/>
      <c r="O1653" s="332"/>
      <c r="P1653" s="332"/>
      <c r="Q1653" s="332"/>
      <c r="R1653" s="332"/>
      <c r="S1653" s="332"/>
      <c r="T1653" s="332"/>
    </row>
    <row r="1654" spans="1:20" x14ac:dyDescent="0.6">
      <c r="A1654" s="334"/>
      <c r="B1654" s="610"/>
      <c r="C1654" s="365"/>
      <c r="D1654" s="364"/>
      <c r="E1654" s="363"/>
      <c r="F1654" s="363"/>
      <c r="G1654" s="364"/>
      <c r="H1654" s="363"/>
      <c r="I1654" s="363"/>
      <c r="J1654" s="364"/>
      <c r="K1654" s="363"/>
      <c r="L1654" s="363"/>
      <c r="M1654" s="737"/>
      <c r="N1654" s="332"/>
      <c r="O1654" s="332"/>
      <c r="P1654" s="332"/>
      <c r="Q1654" s="332"/>
      <c r="R1654" s="332"/>
      <c r="S1654" s="332"/>
      <c r="T1654" s="332"/>
    </row>
    <row r="1655" spans="1:20" x14ac:dyDescent="0.6">
      <c r="A1655" s="334"/>
      <c r="B1655" s="610"/>
      <c r="C1655" s="365"/>
      <c r="D1655" s="364"/>
      <c r="E1655" s="363"/>
      <c r="F1655" s="363"/>
      <c r="G1655" s="364"/>
      <c r="H1655" s="363"/>
      <c r="I1655" s="363"/>
      <c r="J1655" s="364"/>
      <c r="K1655" s="363"/>
      <c r="L1655" s="363"/>
      <c r="M1655" s="737"/>
      <c r="N1655" s="332"/>
      <c r="O1655" s="332"/>
      <c r="P1655" s="332"/>
      <c r="Q1655" s="332"/>
      <c r="R1655" s="332"/>
      <c r="S1655" s="332"/>
      <c r="T1655" s="332"/>
    </row>
    <row r="1656" spans="1:20" x14ac:dyDescent="0.6">
      <c r="A1656" s="334"/>
      <c r="B1656" s="610"/>
      <c r="C1656" s="365"/>
      <c r="D1656" s="364"/>
      <c r="E1656" s="363"/>
      <c r="F1656" s="363"/>
      <c r="G1656" s="364"/>
      <c r="H1656" s="363"/>
      <c r="I1656" s="363"/>
      <c r="J1656" s="364"/>
      <c r="K1656" s="363"/>
      <c r="L1656" s="363"/>
      <c r="M1656" s="737"/>
      <c r="N1656" s="332"/>
      <c r="O1656" s="332"/>
      <c r="P1656" s="332"/>
      <c r="Q1656" s="332"/>
      <c r="R1656" s="332"/>
      <c r="S1656" s="332"/>
      <c r="T1656" s="332"/>
    </row>
    <row r="1657" spans="1:20" x14ac:dyDescent="0.6">
      <c r="A1657" s="334"/>
      <c r="B1657" s="610"/>
      <c r="C1657" s="365"/>
      <c r="D1657" s="364"/>
      <c r="E1657" s="363"/>
      <c r="F1657" s="363"/>
      <c r="G1657" s="364"/>
      <c r="H1657" s="363"/>
      <c r="I1657" s="363"/>
      <c r="J1657" s="364"/>
      <c r="K1657" s="363"/>
      <c r="L1657" s="363"/>
      <c r="M1657" s="737"/>
      <c r="N1657" s="332"/>
      <c r="O1657" s="332"/>
      <c r="P1657" s="332"/>
      <c r="Q1657" s="332"/>
      <c r="R1657" s="332"/>
      <c r="S1657" s="332"/>
      <c r="T1657" s="332"/>
    </row>
    <row r="1658" spans="1:20" x14ac:dyDescent="0.6">
      <c r="A1658" s="334"/>
      <c r="B1658" s="610"/>
      <c r="C1658" s="365"/>
      <c r="D1658" s="364"/>
      <c r="E1658" s="363"/>
      <c r="F1658" s="363"/>
      <c r="G1658" s="364"/>
      <c r="H1658" s="363"/>
      <c r="I1658" s="363"/>
      <c r="J1658" s="364"/>
      <c r="K1658" s="363"/>
      <c r="L1658" s="363"/>
      <c r="M1658" s="737"/>
      <c r="N1658" s="332"/>
      <c r="O1658" s="332"/>
      <c r="P1658" s="332"/>
      <c r="Q1658" s="332"/>
      <c r="R1658" s="332"/>
      <c r="S1658" s="332"/>
      <c r="T1658" s="332"/>
    </row>
    <row r="1659" spans="1:20" x14ac:dyDescent="0.6">
      <c r="A1659" s="334"/>
      <c r="B1659" s="610"/>
      <c r="C1659" s="365"/>
      <c r="D1659" s="364"/>
      <c r="E1659" s="363"/>
      <c r="F1659" s="363"/>
      <c r="G1659" s="364"/>
      <c r="H1659" s="363"/>
      <c r="I1659" s="363"/>
      <c r="J1659" s="364"/>
      <c r="K1659" s="363"/>
      <c r="L1659" s="363"/>
      <c r="M1659" s="737"/>
      <c r="N1659" s="332"/>
      <c r="O1659" s="332"/>
      <c r="P1659" s="332"/>
      <c r="Q1659" s="332"/>
      <c r="R1659" s="332"/>
      <c r="S1659" s="332"/>
      <c r="T1659" s="332"/>
    </row>
    <row r="1660" spans="1:20" x14ac:dyDescent="0.6">
      <c r="A1660" s="334"/>
      <c r="B1660" s="610"/>
      <c r="C1660" s="365"/>
      <c r="D1660" s="364"/>
      <c r="E1660" s="363"/>
      <c r="F1660" s="363"/>
      <c r="G1660" s="364"/>
      <c r="H1660" s="363"/>
      <c r="I1660" s="363"/>
      <c r="J1660" s="364"/>
      <c r="K1660" s="363"/>
      <c r="L1660" s="363"/>
      <c r="M1660" s="737"/>
      <c r="N1660" s="332"/>
      <c r="O1660" s="332"/>
      <c r="P1660" s="332"/>
      <c r="Q1660" s="332"/>
      <c r="R1660" s="332"/>
      <c r="S1660" s="332"/>
      <c r="T1660" s="332"/>
    </row>
    <row r="1661" spans="1:20" x14ac:dyDescent="0.6">
      <c r="A1661" s="334"/>
      <c r="B1661" s="610"/>
      <c r="C1661" s="365"/>
      <c r="D1661" s="364"/>
      <c r="E1661" s="363"/>
      <c r="F1661" s="363"/>
      <c r="G1661" s="364"/>
      <c r="H1661" s="363"/>
      <c r="I1661" s="363"/>
      <c r="J1661" s="364"/>
      <c r="K1661" s="363"/>
      <c r="L1661" s="363"/>
      <c r="M1661" s="737"/>
      <c r="N1661" s="332"/>
      <c r="O1661" s="332"/>
      <c r="P1661" s="332"/>
      <c r="Q1661" s="332"/>
      <c r="R1661" s="332"/>
      <c r="S1661" s="332"/>
      <c r="T1661" s="332"/>
    </row>
    <row r="1662" spans="1:20" x14ac:dyDescent="0.6">
      <c r="A1662" s="334"/>
      <c r="B1662" s="610"/>
      <c r="C1662" s="365"/>
      <c r="D1662" s="364"/>
      <c r="E1662" s="363"/>
      <c r="F1662" s="363"/>
      <c r="G1662" s="364"/>
      <c r="H1662" s="363"/>
      <c r="I1662" s="363"/>
      <c r="J1662" s="364"/>
      <c r="K1662" s="363"/>
      <c r="L1662" s="363"/>
      <c r="M1662" s="737"/>
      <c r="N1662" s="332"/>
      <c r="O1662" s="332"/>
      <c r="P1662" s="332"/>
      <c r="Q1662" s="332"/>
      <c r="R1662" s="332"/>
      <c r="S1662" s="332"/>
      <c r="T1662" s="332"/>
    </row>
    <row r="1663" spans="1:20" x14ac:dyDescent="0.6">
      <c r="A1663" s="334"/>
      <c r="B1663" s="610"/>
      <c r="C1663" s="365"/>
      <c r="D1663" s="364"/>
      <c r="E1663" s="363"/>
      <c r="F1663" s="363"/>
      <c r="G1663" s="364"/>
      <c r="H1663" s="363"/>
      <c r="I1663" s="363"/>
      <c r="J1663" s="364"/>
      <c r="K1663" s="363"/>
      <c r="L1663" s="363"/>
      <c r="M1663" s="737"/>
      <c r="N1663" s="332"/>
      <c r="O1663" s="332"/>
      <c r="P1663" s="332"/>
      <c r="Q1663" s="332"/>
      <c r="R1663" s="332"/>
      <c r="S1663" s="332"/>
      <c r="T1663" s="332"/>
    </row>
    <row r="1664" spans="1:20" x14ac:dyDescent="0.6">
      <c r="A1664" s="334"/>
      <c r="B1664" s="610"/>
      <c r="C1664" s="365"/>
      <c r="D1664" s="364"/>
      <c r="E1664" s="363"/>
      <c r="F1664" s="363"/>
      <c r="G1664" s="364"/>
      <c r="H1664" s="363"/>
      <c r="I1664" s="363"/>
      <c r="J1664" s="364"/>
      <c r="K1664" s="363"/>
      <c r="L1664" s="363"/>
      <c r="M1664" s="737"/>
      <c r="N1664" s="332"/>
      <c r="O1664" s="332"/>
      <c r="P1664" s="332"/>
      <c r="Q1664" s="332"/>
      <c r="R1664" s="332"/>
      <c r="S1664" s="332"/>
      <c r="T1664" s="332"/>
    </row>
    <row r="1665" spans="1:20" x14ac:dyDescent="0.6">
      <c r="A1665" s="334"/>
      <c r="B1665" s="610"/>
      <c r="C1665" s="365"/>
      <c r="D1665" s="364"/>
      <c r="E1665" s="363"/>
      <c r="F1665" s="363"/>
      <c r="G1665" s="364"/>
      <c r="H1665" s="363"/>
      <c r="I1665" s="363"/>
      <c r="J1665" s="364"/>
      <c r="K1665" s="363"/>
      <c r="L1665" s="363"/>
      <c r="M1665" s="737"/>
      <c r="N1665" s="332"/>
      <c r="O1665" s="332"/>
      <c r="P1665" s="332"/>
      <c r="Q1665" s="332"/>
      <c r="R1665" s="332"/>
      <c r="S1665" s="332"/>
      <c r="T1665" s="332"/>
    </row>
    <row r="1666" spans="1:20" x14ac:dyDescent="0.6">
      <c r="A1666" s="334"/>
      <c r="B1666" s="610"/>
      <c r="C1666" s="365"/>
      <c r="D1666" s="364"/>
      <c r="E1666" s="363"/>
      <c r="F1666" s="363"/>
      <c r="G1666" s="364"/>
      <c r="H1666" s="363"/>
      <c r="I1666" s="363"/>
      <c r="J1666" s="364"/>
      <c r="K1666" s="363"/>
      <c r="L1666" s="363"/>
      <c r="M1666" s="737"/>
      <c r="N1666" s="332"/>
      <c r="O1666" s="332"/>
      <c r="P1666" s="332"/>
      <c r="Q1666" s="332"/>
      <c r="R1666" s="332"/>
      <c r="S1666" s="332"/>
      <c r="T1666" s="332"/>
    </row>
    <row r="1667" spans="1:20" x14ac:dyDescent="0.6">
      <c r="A1667" s="334"/>
      <c r="B1667" s="610"/>
      <c r="C1667" s="365"/>
      <c r="D1667" s="364"/>
      <c r="E1667" s="363"/>
      <c r="F1667" s="363"/>
      <c r="G1667" s="364"/>
      <c r="H1667" s="363"/>
      <c r="I1667" s="363"/>
      <c r="J1667" s="364"/>
      <c r="K1667" s="363"/>
      <c r="L1667" s="363"/>
      <c r="M1667" s="737"/>
      <c r="N1667" s="332"/>
      <c r="O1667" s="332"/>
      <c r="P1667" s="332"/>
      <c r="Q1667" s="332"/>
      <c r="R1667" s="332"/>
      <c r="S1667" s="332"/>
      <c r="T1667" s="332"/>
    </row>
    <row r="1668" spans="1:20" x14ac:dyDescent="0.6">
      <c r="A1668" s="334"/>
      <c r="B1668" s="610"/>
      <c r="C1668" s="365"/>
      <c r="D1668" s="364"/>
      <c r="E1668" s="363"/>
      <c r="F1668" s="363"/>
      <c r="G1668" s="364"/>
      <c r="H1668" s="363"/>
      <c r="I1668" s="363"/>
      <c r="J1668" s="364"/>
      <c r="K1668" s="363"/>
      <c r="L1668" s="363"/>
      <c r="M1668" s="737"/>
      <c r="N1668" s="332"/>
      <c r="O1668" s="332"/>
      <c r="P1668" s="332"/>
      <c r="Q1668" s="332"/>
      <c r="R1668" s="332"/>
      <c r="S1668" s="332"/>
      <c r="T1668" s="332"/>
    </row>
    <row r="1669" spans="1:20" x14ac:dyDescent="0.6">
      <c r="A1669" s="334"/>
      <c r="B1669" s="610"/>
      <c r="C1669" s="365"/>
      <c r="D1669" s="364"/>
      <c r="E1669" s="363"/>
      <c r="F1669" s="363"/>
      <c r="G1669" s="364"/>
      <c r="H1669" s="363"/>
      <c r="I1669" s="363"/>
      <c r="J1669" s="364"/>
      <c r="K1669" s="363"/>
      <c r="L1669" s="363"/>
      <c r="M1669" s="737"/>
      <c r="N1669" s="332"/>
      <c r="O1669" s="332"/>
      <c r="P1669" s="332"/>
      <c r="Q1669" s="332"/>
      <c r="R1669" s="332"/>
      <c r="S1669" s="332"/>
      <c r="T1669" s="332"/>
    </row>
    <row r="1670" spans="1:20" x14ac:dyDescent="0.6">
      <c r="A1670" s="334"/>
      <c r="B1670" s="610"/>
      <c r="C1670" s="365"/>
      <c r="D1670" s="364"/>
      <c r="E1670" s="363"/>
      <c r="F1670" s="363"/>
      <c r="G1670" s="364"/>
      <c r="H1670" s="363"/>
      <c r="I1670" s="363"/>
      <c r="J1670" s="364"/>
      <c r="K1670" s="363"/>
      <c r="L1670" s="363"/>
      <c r="M1670" s="737"/>
      <c r="N1670" s="332"/>
      <c r="O1670" s="332"/>
      <c r="P1670" s="332"/>
      <c r="Q1670" s="332"/>
      <c r="R1670" s="332"/>
      <c r="S1670" s="332"/>
      <c r="T1670" s="332"/>
    </row>
    <row r="1671" spans="1:20" x14ac:dyDescent="0.6">
      <c r="A1671" s="334"/>
      <c r="B1671" s="610"/>
      <c r="C1671" s="365"/>
      <c r="D1671" s="364"/>
      <c r="E1671" s="363"/>
      <c r="F1671" s="363"/>
      <c r="G1671" s="364"/>
      <c r="H1671" s="363"/>
      <c r="I1671" s="363"/>
      <c r="J1671" s="364"/>
      <c r="K1671" s="363"/>
      <c r="L1671" s="363"/>
      <c r="M1671" s="737"/>
      <c r="N1671" s="332"/>
      <c r="O1671" s="332"/>
      <c r="P1671" s="332"/>
      <c r="Q1671" s="332"/>
      <c r="R1671" s="332"/>
      <c r="S1671" s="332"/>
      <c r="T1671" s="332"/>
    </row>
    <row r="1672" spans="1:20" x14ac:dyDescent="0.6">
      <c r="A1672" s="334"/>
      <c r="B1672" s="610"/>
      <c r="C1672" s="365"/>
      <c r="D1672" s="364"/>
      <c r="E1672" s="363"/>
      <c r="F1672" s="363"/>
      <c r="G1672" s="364"/>
      <c r="H1672" s="363"/>
      <c r="I1672" s="363"/>
      <c r="J1672" s="364"/>
      <c r="K1672" s="363"/>
      <c r="L1672" s="363"/>
      <c r="M1672" s="737"/>
      <c r="N1672" s="332"/>
      <c r="O1672" s="332"/>
      <c r="P1672" s="332"/>
      <c r="Q1672" s="332"/>
      <c r="R1672" s="332"/>
      <c r="S1672" s="332"/>
      <c r="T1672" s="332"/>
    </row>
    <row r="1673" spans="1:20" x14ac:dyDescent="0.6">
      <c r="A1673" s="334"/>
      <c r="B1673" s="610"/>
      <c r="C1673" s="365"/>
      <c r="D1673" s="364"/>
      <c r="E1673" s="363"/>
      <c r="F1673" s="363"/>
      <c r="G1673" s="364"/>
      <c r="H1673" s="363"/>
      <c r="I1673" s="363"/>
      <c r="J1673" s="364"/>
      <c r="K1673" s="363"/>
      <c r="L1673" s="363"/>
      <c r="M1673" s="737"/>
      <c r="N1673" s="332"/>
      <c r="O1673" s="332"/>
      <c r="P1673" s="332"/>
      <c r="Q1673" s="332"/>
      <c r="R1673" s="332"/>
      <c r="S1673" s="332"/>
      <c r="T1673" s="332"/>
    </row>
    <row r="1674" spans="1:20" x14ac:dyDescent="0.6">
      <c r="A1674" s="334"/>
      <c r="B1674" s="610"/>
      <c r="C1674" s="365"/>
      <c r="D1674" s="364"/>
      <c r="E1674" s="363"/>
      <c r="F1674" s="363"/>
      <c r="G1674" s="364"/>
      <c r="H1674" s="363"/>
      <c r="I1674" s="363"/>
      <c r="J1674" s="364"/>
      <c r="K1674" s="363"/>
      <c r="L1674" s="363"/>
      <c r="M1674" s="737"/>
      <c r="N1674" s="332"/>
      <c r="O1674" s="332"/>
      <c r="P1674" s="332"/>
      <c r="Q1674" s="332"/>
      <c r="R1674" s="332"/>
      <c r="S1674" s="332"/>
      <c r="T1674" s="332"/>
    </row>
    <row r="1675" spans="1:20" x14ac:dyDescent="0.6">
      <c r="A1675" s="334"/>
      <c r="B1675" s="610"/>
      <c r="C1675" s="365"/>
      <c r="D1675" s="364"/>
      <c r="E1675" s="363"/>
      <c r="F1675" s="363"/>
      <c r="G1675" s="364"/>
      <c r="H1675" s="363"/>
      <c r="I1675" s="363"/>
      <c r="J1675" s="364"/>
      <c r="K1675" s="363"/>
      <c r="L1675" s="363"/>
      <c r="M1675" s="737"/>
      <c r="N1675" s="332"/>
      <c r="O1675" s="332"/>
      <c r="P1675" s="332"/>
      <c r="Q1675" s="332"/>
      <c r="R1675" s="332"/>
      <c r="S1675" s="332"/>
      <c r="T1675" s="332"/>
    </row>
    <row r="1676" spans="1:20" x14ac:dyDescent="0.6">
      <c r="A1676" s="334"/>
      <c r="B1676" s="610"/>
      <c r="C1676" s="365"/>
      <c r="D1676" s="364"/>
      <c r="E1676" s="363"/>
      <c r="F1676" s="363"/>
      <c r="G1676" s="364"/>
      <c r="H1676" s="363"/>
      <c r="I1676" s="363"/>
      <c r="J1676" s="364"/>
      <c r="K1676" s="363"/>
      <c r="L1676" s="363"/>
      <c r="M1676" s="737"/>
      <c r="N1676" s="332"/>
      <c r="O1676" s="332"/>
      <c r="P1676" s="332"/>
      <c r="Q1676" s="332"/>
      <c r="R1676" s="332"/>
      <c r="S1676" s="332"/>
      <c r="T1676" s="332"/>
    </row>
    <row r="1677" spans="1:20" x14ac:dyDescent="0.6">
      <c r="A1677" s="334"/>
      <c r="B1677" s="610"/>
      <c r="C1677" s="365"/>
      <c r="D1677" s="364"/>
      <c r="E1677" s="363"/>
      <c r="F1677" s="363"/>
      <c r="G1677" s="364"/>
      <c r="H1677" s="363"/>
      <c r="I1677" s="363"/>
      <c r="J1677" s="364"/>
      <c r="K1677" s="363"/>
      <c r="L1677" s="363"/>
      <c r="M1677" s="737"/>
      <c r="N1677" s="332"/>
      <c r="O1677" s="332"/>
      <c r="P1677" s="332"/>
      <c r="Q1677" s="332"/>
      <c r="R1677" s="332"/>
      <c r="S1677" s="332"/>
      <c r="T1677" s="332"/>
    </row>
    <row r="1678" spans="1:20" x14ac:dyDescent="0.6">
      <c r="A1678" s="334"/>
      <c r="B1678" s="610"/>
      <c r="C1678" s="365"/>
      <c r="D1678" s="364"/>
      <c r="E1678" s="363"/>
      <c r="F1678" s="363"/>
      <c r="G1678" s="364"/>
      <c r="H1678" s="363"/>
      <c r="I1678" s="363"/>
      <c r="J1678" s="364"/>
      <c r="K1678" s="363"/>
      <c r="L1678" s="363"/>
      <c r="M1678" s="737"/>
      <c r="N1678" s="332"/>
      <c r="O1678" s="332"/>
      <c r="P1678" s="332"/>
      <c r="Q1678" s="332"/>
      <c r="R1678" s="332"/>
      <c r="S1678" s="332"/>
      <c r="T1678" s="332"/>
    </row>
    <row r="1679" spans="1:20" x14ac:dyDescent="0.6">
      <c r="A1679" s="334"/>
      <c r="B1679" s="610"/>
      <c r="C1679" s="365"/>
      <c r="D1679" s="364"/>
      <c r="E1679" s="363"/>
      <c r="F1679" s="363"/>
      <c r="G1679" s="364"/>
      <c r="H1679" s="363"/>
      <c r="I1679" s="363"/>
      <c r="J1679" s="364"/>
      <c r="K1679" s="363"/>
      <c r="L1679" s="363"/>
      <c r="M1679" s="737"/>
      <c r="N1679" s="332"/>
      <c r="O1679" s="332"/>
      <c r="P1679" s="332"/>
      <c r="Q1679" s="332"/>
      <c r="R1679" s="332"/>
      <c r="S1679" s="332"/>
      <c r="T1679" s="332"/>
    </row>
    <row r="1680" spans="1:20" x14ac:dyDescent="0.6">
      <c r="A1680" s="334"/>
      <c r="B1680" s="610"/>
      <c r="C1680" s="365"/>
      <c r="D1680" s="364"/>
      <c r="E1680" s="363"/>
      <c r="F1680" s="363"/>
      <c r="G1680" s="364"/>
      <c r="H1680" s="363"/>
      <c r="I1680" s="363"/>
      <c r="J1680" s="364"/>
      <c r="K1680" s="363"/>
      <c r="L1680" s="363"/>
      <c r="M1680" s="737"/>
      <c r="N1680" s="332"/>
      <c r="O1680" s="332"/>
      <c r="P1680" s="332"/>
      <c r="Q1680" s="332"/>
      <c r="R1680" s="332"/>
      <c r="S1680" s="332"/>
      <c r="T1680" s="332"/>
    </row>
    <row r="1681" spans="1:20" x14ac:dyDescent="0.6">
      <c r="A1681" s="334"/>
      <c r="B1681" s="610"/>
      <c r="C1681" s="365"/>
      <c r="D1681" s="364"/>
      <c r="E1681" s="363"/>
      <c r="F1681" s="363"/>
      <c r="G1681" s="364"/>
      <c r="H1681" s="363"/>
      <c r="I1681" s="363"/>
      <c r="J1681" s="364"/>
      <c r="K1681" s="363"/>
      <c r="L1681" s="363"/>
      <c r="M1681" s="737"/>
      <c r="N1681" s="332"/>
      <c r="O1681" s="332"/>
      <c r="P1681" s="332"/>
      <c r="Q1681" s="332"/>
      <c r="R1681" s="332"/>
      <c r="S1681" s="332"/>
      <c r="T1681" s="332"/>
    </row>
    <row r="1682" spans="1:20" x14ac:dyDescent="0.6">
      <c r="A1682" s="334"/>
      <c r="B1682" s="610"/>
      <c r="C1682" s="365"/>
      <c r="D1682" s="364"/>
      <c r="E1682" s="363"/>
      <c r="F1682" s="363"/>
      <c r="G1682" s="364"/>
      <c r="H1682" s="363"/>
      <c r="I1682" s="363"/>
      <c r="J1682" s="364"/>
      <c r="K1682" s="363"/>
      <c r="L1682" s="363"/>
      <c r="M1682" s="737"/>
      <c r="N1682" s="332"/>
      <c r="O1682" s="332"/>
      <c r="P1682" s="332"/>
      <c r="Q1682" s="332"/>
      <c r="R1682" s="332"/>
      <c r="S1682" s="332"/>
      <c r="T1682" s="332"/>
    </row>
    <row r="1683" spans="1:20" x14ac:dyDescent="0.6">
      <c r="A1683" s="334"/>
      <c r="B1683" s="610"/>
      <c r="C1683" s="365"/>
      <c r="D1683" s="364"/>
      <c r="E1683" s="363"/>
      <c r="F1683" s="363"/>
      <c r="G1683" s="364"/>
      <c r="H1683" s="363"/>
      <c r="I1683" s="363"/>
      <c r="J1683" s="364"/>
      <c r="K1683" s="363"/>
      <c r="L1683" s="363"/>
      <c r="M1683" s="737"/>
      <c r="N1683" s="332"/>
      <c r="O1683" s="332"/>
      <c r="P1683" s="332"/>
      <c r="Q1683" s="332"/>
      <c r="R1683" s="332"/>
      <c r="S1683" s="332"/>
      <c r="T1683" s="332"/>
    </row>
    <row r="1684" spans="1:20" x14ac:dyDescent="0.6">
      <c r="A1684" s="334"/>
      <c r="B1684" s="610"/>
      <c r="C1684" s="365"/>
      <c r="D1684" s="364"/>
      <c r="E1684" s="363"/>
      <c r="F1684" s="363"/>
      <c r="G1684" s="364"/>
      <c r="H1684" s="363"/>
      <c r="I1684" s="363"/>
      <c r="J1684" s="364"/>
      <c r="K1684" s="363"/>
      <c r="L1684" s="363"/>
      <c r="M1684" s="737"/>
      <c r="N1684" s="332"/>
      <c r="O1684" s="332"/>
      <c r="P1684" s="332"/>
      <c r="Q1684" s="332"/>
      <c r="R1684" s="332"/>
      <c r="S1684" s="332"/>
      <c r="T1684" s="332"/>
    </row>
    <row r="1685" spans="1:20" x14ac:dyDescent="0.6">
      <c r="A1685" s="334"/>
      <c r="B1685" s="610"/>
      <c r="C1685" s="365"/>
      <c r="D1685" s="364"/>
      <c r="E1685" s="363"/>
      <c r="F1685" s="363"/>
      <c r="G1685" s="364"/>
      <c r="H1685" s="363"/>
      <c r="I1685" s="363"/>
      <c r="J1685" s="364"/>
      <c r="K1685" s="363"/>
      <c r="L1685" s="363"/>
      <c r="M1685" s="737"/>
      <c r="N1685" s="332"/>
      <c r="O1685" s="332"/>
      <c r="P1685" s="332"/>
      <c r="Q1685" s="332"/>
      <c r="R1685" s="332"/>
      <c r="S1685" s="332"/>
      <c r="T1685" s="332"/>
    </row>
    <row r="1686" spans="1:20" x14ac:dyDescent="0.6">
      <c r="A1686" s="334"/>
      <c r="B1686" s="610"/>
      <c r="C1686" s="365"/>
      <c r="D1686" s="364"/>
      <c r="E1686" s="363"/>
      <c r="F1686" s="363"/>
      <c r="G1686" s="364"/>
      <c r="H1686" s="363"/>
      <c r="I1686" s="363"/>
      <c r="J1686" s="364"/>
      <c r="K1686" s="363"/>
      <c r="L1686" s="363"/>
      <c r="M1686" s="737"/>
      <c r="N1686" s="332"/>
      <c r="O1686" s="332"/>
      <c r="P1686" s="332"/>
      <c r="Q1686" s="332"/>
      <c r="R1686" s="332"/>
      <c r="S1686" s="332"/>
      <c r="T1686" s="332"/>
    </row>
    <row r="1687" spans="1:20" x14ac:dyDescent="0.6">
      <c r="A1687" s="334"/>
      <c r="B1687" s="610"/>
      <c r="C1687" s="365"/>
      <c r="D1687" s="364"/>
      <c r="E1687" s="363"/>
      <c r="F1687" s="363"/>
      <c r="G1687" s="364"/>
      <c r="H1687" s="363"/>
      <c r="I1687" s="363"/>
      <c r="J1687" s="364"/>
      <c r="K1687" s="363"/>
      <c r="L1687" s="363"/>
      <c r="M1687" s="737"/>
      <c r="N1687" s="332"/>
      <c r="O1687" s="332"/>
      <c r="P1687" s="332"/>
      <c r="Q1687" s="332"/>
      <c r="R1687" s="332"/>
      <c r="S1687" s="332"/>
      <c r="T1687" s="332"/>
    </row>
    <row r="1688" spans="1:20" x14ac:dyDescent="0.6">
      <c r="A1688" s="334"/>
      <c r="B1688" s="610"/>
      <c r="C1688" s="365"/>
      <c r="D1688" s="364"/>
      <c r="E1688" s="363"/>
      <c r="F1688" s="363"/>
      <c r="G1688" s="364"/>
      <c r="H1688" s="363"/>
      <c r="I1688" s="363"/>
      <c r="J1688" s="364"/>
      <c r="K1688" s="363"/>
      <c r="L1688" s="363"/>
      <c r="M1688" s="737"/>
      <c r="N1688" s="332"/>
      <c r="O1688" s="332"/>
      <c r="P1688" s="332"/>
      <c r="Q1688" s="332"/>
      <c r="R1688" s="332"/>
      <c r="S1688" s="332"/>
      <c r="T1688" s="332"/>
    </row>
    <row r="1689" spans="1:20" x14ac:dyDescent="0.6">
      <c r="A1689" s="334"/>
      <c r="B1689" s="610"/>
      <c r="C1689" s="365"/>
      <c r="D1689" s="364"/>
      <c r="E1689" s="363"/>
      <c r="F1689" s="363"/>
      <c r="G1689" s="364"/>
      <c r="H1689" s="363"/>
      <c r="I1689" s="363"/>
      <c r="J1689" s="364"/>
      <c r="K1689" s="363"/>
      <c r="L1689" s="363"/>
      <c r="M1689" s="737"/>
      <c r="N1689" s="332"/>
      <c r="O1689" s="332"/>
      <c r="P1689" s="332"/>
      <c r="Q1689" s="332"/>
      <c r="R1689" s="332"/>
      <c r="S1689" s="332"/>
      <c r="T1689" s="332"/>
    </row>
    <row r="1690" spans="1:20" x14ac:dyDescent="0.6">
      <c r="A1690" s="334"/>
      <c r="B1690" s="610"/>
      <c r="C1690" s="365"/>
      <c r="D1690" s="364"/>
      <c r="E1690" s="363"/>
      <c r="F1690" s="363"/>
      <c r="G1690" s="364"/>
      <c r="H1690" s="363"/>
      <c r="I1690" s="363"/>
      <c r="J1690" s="364"/>
      <c r="K1690" s="363"/>
      <c r="L1690" s="363"/>
      <c r="M1690" s="737"/>
      <c r="N1690" s="332"/>
      <c r="O1690" s="332"/>
      <c r="P1690" s="332"/>
      <c r="Q1690" s="332"/>
      <c r="R1690" s="332"/>
      <c r="S1690" s="332"/>
      <c r="T1690" s="332"/>
    </row>
    <row r="1691" spans="1:20" x14ac:dyDescent="0.6">
      <c r="A1691" s="334"/>
      <c r="B1691" s="610"/>
      <c r="C1691" s="365"/>
      <c r="D1691" s="364"/>
      <c r="E1691" s="363"/>
      <c r="F1691" s="363"/>
      <c r="G1691" s="364"/>
      <c r="H1691" s="363"/>
      <c r="I1691" s="363"/>
      <c r="J1691" s="364"/>
      <c r="K1691" s="363"/>
      <c r="L1691" s="363"/>
      <c r="M1691" s="737"/>
      <c r="N1691" s="332"/>
      <c r="O1691" s="332"/>
      <c r="P1691" s="332"/>
      <c r="Q1691" s="332"/>
      <c r="R1691" s="332"/>
      <c r="S1691" s="332"/>
      <c r="T1691" s="332"/>
    </row>
    <row r="1692" spans="1:20" x14ac:dyDescent="0.6">
      <c r="A1692" s="334"/>
      <c r="B1692" s="610"/>
      <c r="C1692" s="365"/>
      <c r="D1692" s="364"/>
      <c r="E1692" s="363"/>
      <c r="F1692" s="363"/>
      <c r="G1692" s="364"/>
      <c r="H1692" s="363"/>
      <c r="I1692" s="363"/>
      <c r="J1692" s="364"/>
      <c r="K1692" s="363"/>
      <c r="L1692" s="363"/>
      <c r="M1692" s="737"/>
      <c r="N1692" s="332"/>
      <c r="O1692" s="332"/>
      <c r="P1692" s="332"/>
      <c r="Q1692" s="332"/>
      <c r="R1692" s="332"/>
      <c r="S1692" s="332"/>
      <c r="T1692" s="332"/>
    </row>
    <row r="1693" spans="1:20" x14ac:dyDescent="0.6">
      <c r="A1693" s="334"/>
      <c r="B1693" s="610"/>
      <c r="C1693" s="365"/>
      <c r="D1693" s="364"/>
      <c r="E1693" s="363"/>
      <c r="F1693" s="363"/>
      <c r="G1693" s="364"/>
      <c r="H1693" s="363"/>
      <c r="I1693" s="363"/>
      <c r="J1693" s="364"/>
      <c r="K1693" s="363"/>
      <c r="L1693" s="363"/>
      <c r="M1693" s="737"/>
      <c r="N1693" s="332"/>
      <c r="O1693" s="332"/>
      <c r="P1693" s="332"/>
      <c r="Q1693" s="332"/>
      <c r="R1693" s="332"/>
      <c r="S1693" s="332"/>
      <c r="T1693" s="332"/>
    </row>
    <row r="1694" spans="1:20" x14ac:dyDescent="0.6">
      <c r="A1694" s="334"/>
      <c r="B1694" s="610"/>
      <c r="C1694" s="365"/>
      <c r="D1694" s="364"/>
      <c r="E1694" s="363"/>
      <c r="F1694" s="363"/>
      <c r="G1694" s="364"/>
      <c r="H1694" s="363"/>
      <c r="I1694" s="363"/>
      <c r="J1694" s="364"/>
      <c r="K1694" s="363"/>
      <c r="L1694" s="363"/>
      <c r="M1694" s="737"/>
      <c r="N1694" s="332"/>
      <c r="O1694" s="332"/>
      <c r="P1694" s="332"/>
      <c r="Q1694" s="332"/>
      <c r="R1694" s="332"/>
      <c r="S1694" s="332"/>
      <c r="T1694" s="332"/>
    </row>
    <row r="1695" spans="1:20" x14ac:dyDescent="0.6">
      <c r="A1695" s="334"/>
      <c r="B1695" s="610"/>
      <c r="C1695" s="365"/>
      <c r="D1695" s="364"/>
      <c r="E1695" s="363"/>
      <c r="F1695" s="363"/>
      <c r="G1695" s="364"/>
      <c r="H1695" s="363"/>
      <c r="I1695" s="363"/>
      <c r="J1695" s="364"/>
      <c r="K1695" s="363"/>
      <c r="L1695" s="363"/>
      <c r="M1695" s="737"/>
      <c r="N1695" s="332"/>
      <c r="O1695" s="332"/>
      <c r="P1695" s="332"/>
      <c r="Q1695" s="332"/>
      <c r="R1695" s="332"/>
      <c r="S1695" s="332"/>
      <c r="T1695" s="332"/>
    </row>
    <row r="1696" spans="1:20" x14ac:dyDescent="0.6">
      <c r="A1696" s="334"/>
      <c r="B1696" s="610"/>
      <c r="C1696" s="365"/>
      <c r="D1696" s="364"/>
      <c r="E1696" s="363"/>
      <c r="F1696" s="363"/>
      <c r="G1696" s="364"/>
      <c r="H1696" s="363"/>
      <c r="I1696" s="363"/>
      <c r="J1696" s="364"/>
      <c r="K1696" s="363"/>
      <c r="L1696" s="363"/>
      <c r="M1696" s="737"/>
      <c r="N1696" s="332"/>
      <c r="O1696" s="332"/>
      <c r="P1696" s="332"/>
      <c r="Q1696" s="332"/>
      <c r="R1696" s="332"/>
      <c r="S1696" s="332"/>
      <c r="T1696" s="332"/>
    </row>
    <row r="1697" spans="1:20" x14ac:dyDescent="0.6">
      <c r="A1697" s="334"/>
      <c r="B1697" s="610"/>
      <c r="C1697" s="365"/>
      <c r="D1697" s="364"/>
      <c r="E1697" s="363"/>
      <c r="F1697" s="363"/>
      <c r="G1697" s="364"/>
      <c r="H1697" s="363"/>
      <c r="I1697" s="363"/>
      <c r="J1697" s="364"/>
      <c r="K1697" s="363"/>
      <c r="L1697" s="363"/>
      <c r="M1697" s="737"/>
      <c r="N1697" s="332"/>
      <c r="O1697" s="332"/>
      <c r="P1697" s="332"/>
      <c r="Q1697" s="332"/>
      <c r="R1697" s="332"/>
      <c r="S1697" s="332"/>
      <c r="T1697" s="332"/>
    </row>
    <row r="1698" spans="1:20" x14ac:dyDescent="0.6">
      <c r="A1698" s="334"/>
      <c r="B1698" s="610"/>
      <c r="C1698" s="365"/>
      <c r="D1698" s="364"/>
      <c r="E1698" s="363"/>
      <c r="F1698" s="363"/>
      <c r="G1698" s="364"/>
      <c r="H1698" s="363"/>
      <c r="I1698" s="363"/>
      <c r="J1698" s="364"/>
      <c r="K1698" s="363"/>
      <c r="L1698" s="363"/>
      <c r="M1698" s="737"/>
      <c r="N1698" s="332"/>
      <c r="O1698" s="332"/>
      <c r="P1698" s="332"/>
      <c r="Q1698" s="332"/>
      <c r="R1698" s="332"/>
      <c r="S1698" s="332"/>
      <c r="T1698" s="332"/>
    </row>
    <row r="1699" spans="1:20" x14ac:dyDescent="0.6">
      <c r="A1699" s="334"/>
      <c r="B1699" s="610"/>
      <c r="C1699" s="365"/>
      <c r="D1699" s="364"/>
      <c r="E1699" s="363"/>
      <c r="F1699" s="363"/>
      <c r="G1699" s="364"/>
      <c r="H1699" s="363"/>
      <c r="I1699" s="363"/>
      <c r="J1699" s="364"/>
      <c r="K1699" s="363"/>
      <c r="L1699" s="363"/>
      <c r="M1699" s="737"/>
      <c r="N1699" s="332"/>
      <c r="O1699" s="332"/>
      <c r="P1699" s="332"/>
      <c r="Q1699" s="332"/>
      <c r="R1699" s="332"/>
      <c r="S1699" s="332"/>
      <c r="T1699" s="332"/>
    </row>
    <row r="1700" spans="1:20" x14ac:dyDescent="0.6">
      <c r="A1700" s="334"/>
      <c r="B1700" s="610"/>
      <c r="C1700" s="365"/>
      <c r="D1700" s="364"/>
      <c r="E1700" s="363"/>
      <c r="F1700" s="363"/>
      <c r="G1700" s="364"/>
      <c r="H1700" s="363"/>
      <c r="I1700" s="363"/>
      <c r="J1700" s="364"/>
      <c r="K1700" s="363"/>
      <c r="L1700" s="363"/>
      <c r="M1700" s="737"/>
      <c r="N1700" s="332"/>
      <c r="O1700" s="332"/>
      <c r="P1700" s="332"/>
      <c r="Q1700" s="332"/>
      <c r="R1700" s="332"/>
      <c r="S1700" s="332"/>
      <c r="T1700" s="332"/>
    </row>
    <row r="1701" spans="1:20" x14ac:dyDescent="0.6">
      <c r="A1701" s="334"/>
      <c r="B1701" s="610"/>
      <c r="C1701" s="365"/>
      <c r="D1701" s="364"/>
      <c r="E1701" s="363"/>
      <c r="F1701" s="363"/>
      <c r="G1701" s="364"/>
      <c r="H1701" s="363"/>
      <c r="I1701" s="363"/>
      <c r="J1701" s="364"/>
      <c r="K1701" s="363"/>
      <c r="L1701" s="363"/>
      <c r="M1701" s="737"/>
      <c r="N1701" s="332"/>
      <c r="O1701" s="332"/>
      <c r="P1701" s="332"/>
      <c r="Q1701" s="332"/>
      <c r="R1701" s="332"/>
      <c r="S1701" s="332"/>
      <c r="T1701" s="332"/>
    </row>
    <row r="1702" spans="1:20" x14ac:dyDescent="0.6">
      <c r="A1702" s="334"/>
      <c r="B1702" s="610"/>
      <c r="C1702" s="365"/>
      <c r="D1702" s="364"/>
      <c r="E1702" s="363"/>
      <c r="F1702" s="363"/>
      <c r="G1702" s="364"/>
      <c r="H1702" s="363"/>
      <c r="I1702" s="363"/>
      <c r="J1702" s="364"/>
      <c r="K1702" s="363"/>
      <c r="L1702" s="363"/>
      <c r="M1702" s="737"/>
      <c r="N1702" s="332"/>
      <c r="O1702" s="332"/>
      <c r="P1702" s="332"/>
      <c r="Q1702" s="332"/>
      <c r="R1702" s="332"/>
      <c r="S1702" s="332"/>
      <c r="T1702" s="332"/>
    </row>
    <row r="1703" spans="1:20" x14ac:dyDescent="0.6">
      <c r="A1703" s="334"/>
      <c r="B1703" s="610"/>
      <c r="C1703" s="365"/>
      <c r="D1703" s="364"/>
      <c r="E1703" s="363"/>
      <c r="F1703" s="363"/>
      <c r="G1703" s="364"/>
      <c r="H1703" s="363"/>
      <c r="I1703" s="363"/>
      <c r="J1703" s="364"/>
      <c r="K1703" s="363"/>
      <c r="L1703" s="363"/>
      <c r="M1703" s="737"/>
      <c r="N1703" s="332"/>
      <c r="O1703" s="332"/>
      <c r="P1703" s="332"/>
      <c r="Q1703" s="332"/>
      <c r="R1703" s="332"/>
      <c r="S1703" s="332"/>
      <c r="T1703" s="332"/>
    </row>
    <row r="1704" spans="1:20" x14ac:dyDescent="0.6">
      <c r="A1704" s="334"/>
      <c r="B1704" s="610"/>
      <c r="C1704" s="365"/>
      <c r="D1704" s="364"/>
      <c r="E1704" s="363"/>
      <c r="F1704" s="363"/>
      <c r="G1704" s="364"/>
      <c r="H1704" s="363"/>
      <c r="I1704" s="363"/>
      <c r="J1704" s="364"/>
      <c r="K1704" s="363"/>
      <c r="L1704" s="363"/>
      <c r="M1704" s="737"/>
      <c r="N1704" s="332"/>
      <c r="O1704" s="332"/>
      <c r="P1704" s="332"/>
      <c r="Q1704" s="332"/>
      <c r="R1704" s="332"/>
      <c r="S1704" s="332"/>
      <c r="T1704" s="332"/>
    </row>
    <row r="1705" spans="1:20" x14ac:dyDescent="0.6">
      <c r="A1705" s="334"/>
      <c r="B1705" s="610"/>
      <c r="C1705" s="365"/>
      <c r="D1705" s="364"/>
      <c r="E1705" s="363"/>
      <c r="F1705" s="363"/>
      <c r="G1705" s="364"/>
      <c r="H1705" s="363"/>
      <c r="I1705" s="363"/>
      <c r="J1705" s="364"/>
      <c r="K1705" s="363"/>
      <c r="L1705" s="363"/>
      <c r="M1705" s="737"/>
      <c r="N1705" s="332"/>
      <c r="O1705" s="332"/>
      <c r="P1705" s="332"/>
      <c r="Q1705" s="332"/>
      <c r="R1705" s="332"/>
      <c r="S1705" s="332"/>
      <c r="T1705" s="332"/>
    </row>
    <row r="1706" spans="1:20" x14ac:dyDescent="0.6">
      <c r="A1706" s="334"/>
      <c r="B1706" s="610"/>
      <c r="C1706" s="365"/>
      <c r="D1706" s="364"/>
      <c r="E1706" s="363"/>
      <c r="F1706" s="363"/>
      <c r="G1706" s="364"/>
      <c r="H1706" s="363"/>
      <c r="I1706" s="363"/>
      <c r="J1706" s="364"/>
      <c r="K1706" s="363"/>
      <c r="L1706" s="363"/>
      <c r="M1706" s="737"/>
      <c r="N1706" s="332"/>
      <c r="O1706" s="332"/>
      <c r="P1706" s="332"/>
      <c r="Q1706" s="332"/>
      <c r="R1706" s="332"/>
      <c r="S1706" s="332"/>
      <c r="T1706" s="332"/>
    </row>
    <row r="1707" spans="1:20" x14ac:dyDescent="0.6">
      <c r="A1707" s="334"/>
      <c r="B1707" s="610"/>
      <c r="C1707" s="365"/>
      <c r="D1707" s="364"/>
      <c r="E1707" s="363"/>
      <c r="F1707" s="363"/>
      <c r="G1707" s="364"/>
      <c r="H1707" s="363"/>
      <c r="I1707" s="363"/>
      <c r="J1707" s="364"/>
      <c r="K1707" s="363"/>
      <c r="L1707" s="363"/>
      <c r="M1707" s="737"/>
      <c r="N1707" s="332"/>
      <c r="O1707" s="332"/>
      <c r="P1707" s="332"/>
      <c r="Q1707" s="332"/>
      <c r="R1707" s="332"/>
      <c r="S1707" s="332"/>
      <c r="T1707" s="332"/>
    </row>
    <row r="1708" spans="1:20" x14ac:dyDescent="0.6">
      <c r="A1708" s="334"/>
      <c r="B1708" s="610"/>
      <c r="C1708" s="365"/>
      <c r="D1708" s="364"/>
      <c r="E1708" s="363"/>
      <c r="F1708" s="363"/>
      <c r="G1708" s="364"/>
      <c r="H1708" s="363"/>
      <c r="I1708" s="363"/>
      <c r="J1708" s="364"/>
      <c r="K1708" s="363"/>
      <c r="L1708" s="363"/>
      <c r="M1708" s="737"/>
      <c r="N1708" s="332"/>
      <c r="O1708" s="332"/>
      <c r="P1708" s="332"/>
      <c r="Q1708" s="332"/>
      <c r="R1708" s="332"/>
      <c r="S1708" s="332"/>
      <c r="T1708" s="332"/>
    </row>
    <row r="1709" spans="1:20" x14ac:dyDescent="0.6">
      <c r="A1709" s="334"/>
      <c r="B1709" s="610"/>
      <c r="C1709" s="365"/>
      <c r="D1709" s="364"/>
      <c r="E1709" s="363"/>
      <c r="F1709" s="363"/>
      <c r="G1709" s="364"/>
      <c r="H1709" s="363"/>
      <c r="I1709" s="363"/>
      <c r="J1709" s="364"/>
      <c r="K1709" s="363"/>
      <c r="L1709" s="363"/>
      <c r="M1709" s="737"/>
      <c r="N1709" s="332"/>
      <c r="O1709" s="332"/>
      <c r="P1709" s="332"/>
      <c r="Q1709" s="332"/>
      <c r="R1709" s="332"/>
      <c r="S1709" s="332"/>
      <c r="T1709" s="332"/>
    </row>
    <row r="1710" spans="1:20" x14ac:dyDescent="0.6">
      <c r="A1710" s="334"/>
      <c r="B1710" s="610"/>
      <c r="C1710" s="365"/>
      <c r="D1710" s="364"/>
      <c r="E1710" s="363"/>
      <c r="F1710" s="363"/>
      <c r="G1710" s="364"/>
      <c r="H1710" s="363"/>
      <c r="I1710" s="363"/>
      <c r="J1710" s="364"/>
      <c r="K1710" s="363"/>
      <c r="L1710" s="363"/>
      <c r="M1710" s="737"/>
      <c r="N1710" s="332"/>
      <c r="O1710" s="332"/>
      <c r="P1710" s="332"/>
      <c r="Q1710" s="332"/>
      <c r="R1710" s="332"/>
      <c r="S1710" s="332"/>
      <c r="T1710" s="332"/>
    </row>
    <row r="1711" spans="1:20" x14ac:dyDescent="0.6">
      <c r="A1711" s="334"/>
      <c r="B1711" s="610"/>
      <c r="C1711" s="365"/>
      <c r="D1711" s="364"/>
      <c r="E1711" s="363"/>
      <c r="F1711" s="363"/>
      <c r="G1711" s="364"/>
      <c r="H1711" s="363"/>
      <c r="I1711" s="363"/>
      <c r="J1711" s="364"/>
      <c r="K1711" s="363"/>
      <c r="L1711" s="363"/>
      <c r="M1711" s="737"/>
      <c r="N1711" s="332"/>
      <c r="O1711" s="332"/>
      <c r="P1711" s="332"/>
      <c r="Q1711" s="332"/>
      <c r="R1711" s="332"/>
      <c r="S1711" s="332"/>
      <c r="T1711" s="332"/>
    </row>
    <row r="1712" spans="1:20" x14ac:dyDescent="0.6">
      <c r="A1712" s="334"/>
      <c r="B1712" s="610"/>
      <c r="C1712" s="365"/>
      <c r="D1712" s="364"/>
      <c r="E1712" s="363"/>
      <c r="F1712" s="363"/>
      <c r="G1712" s="364"/>
      <c r="H1712" s="363"/>
      <c r="I1712" s="363"/>
      <c r="J1712" s="364"/>
      <c r="K1712" s="363"/>
      <c r="L1712" s="363"/>
      <c r="M1712" s="737"/>
      <c r="N1712" s="332"/>
      <c r="O1712" s="332"/>
      <c r="P1712" s="332"/>
      <c r="Q1712" s="332"/>
      <c r="R1712" s="332"/>
      <c r="S1712" s="332"/>
      <c r="T1712" s="332"/>
    </row>
    <row r="1713" spans="1:20" x14ac:dyDescent="0.6">
      <c r="A1713" s="334"/>
      <c r="B1713" s="610"/>
      <c r="C1713" s="365"/>
      <c r="D1713" s="364"/>
      <c r="E1713" s="363"/>
      <c r="F1713" s="363"/>
      <c r="G1713" s="364"/>
      <c r="H1713" s="363"/>
      <c r="I1713" s="363"/>
      <c r="J1713" s="364"/>
      <c r="K1713" s="363"/>
      <c r="L1713" s="363"/>
      <c r="M1713" s="737"/>
      <c r="N1713" s="332"/>
      <c r="O1713" s="332"/>
      <c r="P1713" s="332"/>
      <c r="Q1713" s="332"/>
      <c r="R1713" s="332"/>
      <c r="S1713" s="332"/>
      <c r="T1713" s="332"/>
    </row>
    <row r="1714" spans="1:20" x14ac:dyDescent="0.6">
      <c r="A1714" s="334"/>
      <c r="B1714" s="610"/>
      <c r="C1714" s="365"/>
      <c r="D1714" s="364"/>
      <c r="E1714" s="363"/>
      <c r="F1714" s="363"/>
      <c r="G1714" s="364"/>
      <c r="H1714" s="363"/>
      <c r="I1714" s="363"/>
      <c r="J1714" s="364"/>
      <c r="K1714" s="363"/>
      <c r="L1714" s="363"/>
      <c r="M1714" s="737"/>
      <c r="N1714" s="332"/>
      <c r="O1714" s="332"/>
      <c r="P1714" s="332"/>
      <c r="Q1714" s="332"/>
      <c r="R1714" s="332"/>
      <c r="S1714" s="332"/>
      <c r="T1714" s="332"/>
    </row>
    <row r="1715" spans="1:20" x14ac:dyDescent="0.6">
      <c r="A1715" s="334"/>
      <c r="B1715" s="610"/>
      <c r="C1715" s="365"/>
      <c r="D1715" s="364"/>
      <c r="E1715" s="363"/>
      <c r="F1715" s="363"/>
      <c r="G1715" s="364"/>
      <c r="H1715" s="363"/>
      <c r="I1715" s="363"/>
      <c r="J1715" s="364"/>
      <c r="K1715" s="363"/>
      <c r="L1715" s="363"/>
      <c r="M1715" s="737"/>
      <c r="N1715" s="332"/>
      <c r="O1715" s="332"/>
      <c r="P1715" s="332"/>
      <c r="Q1715" s="332"/>
      <c r="R1715" s="332"/>
      <c r="S1715" s="332"/>
      <c r="T1715" s="332"/>
    </row>
    <row r="1716" spans="1:20" x14ac:dyDescent="0.6">
      <c r="A1716" s="334"/>
      <c r="B1716" s="610"/>
      <c r="C1716" s="365"/>
      <c r="D1716" s="364"/>
      <c r="E1716" s="363"/>
      <c r="F1716" s="363"/>
      <c r="G1716" s="364"/>
      <c r="H1716" s="363"/>
      <c r="I1716" s="363"/>
      <c r="J1716" s="364"/>
      <c r="K1716" s="363"/>
      <c r="L1716" s="363"/>
      <c r="M1716" s="737"/>
      <c r="N1716" s="332"/>
      <c r="O1716" s="332"/>
      <c r="P1716" s="332"/>
      <c r="Q1716" s="332"/>
      <c r="R1716" s="332"/>
      <c r="S1716" s="332"/>
      <c r="T1716" s="332"/>
    </row>
    <row r="1717" spans="1:20" x14ac:dyDescent="0.6">
      <c r="A1717" s="334"/>
      <c r="B1717" s="610"/>
      <c r="C1717" s="365"/>
      <c r="D1717" s="364"/>
      <c r="E1717" s="363"/>
      <c r="F1717" s="363"/>
      <c r="G1717" s="364"/>
      <c r="H1717" s="363"/>
      <c r="I1717" s="363"/>
      <c r="J1717" s="364"/>
      <c r="K1717" s="363"/>
      <c r="L1717" s="363"/>
      <c r="M1717" s="737"/>
      <c r="N1717" s="332"/>
      <c r="O1717" s="332"/>
      <c r="P1717" s="332"/>
      <c r="Q1717" s="332"/>
      <c r="R1717" s="332"/>
      <c r="S1717" s="332"/>
      <c r="T1717" s="332"/>
    </row>
    <row r="1718" spans="1:20" x14ac:dyDescent="0.6">
      <c r="A1718" s="334"/>
      <c r="B1718" s="610"/>
      <c r="C1718" s="365"/>
      <c r="D1718" s="364"/>
      <c r="E1718" s="363"/>
      <c r="F1718" s="363"/>
      <c r="G1718" s="364"/>
      <c r="H1718" s="363"/>
      <c r="I1718" s="363"/>
      <c r="J1718" s="364"/>
      <c r="K1718" s="363"/>
      <c r="L1718" s="363"/>
      <c r="M1718" s="737"/>
      <c r="N1718" s="332"/>
      <c r="O1718" s="332"/>
      <c r="P1718" s="332"/>
      <c r="Q1718" s="332"/>
      <c r="R1718" s="332"/>
      <c r="S1718" s="332"/>
      <c r="T1718" s="332"/>
    </row>
    <row r="1719" spans="1:20" x14ac:dyDescent="0.6">
      <c r="A1719" s="334"/>
      <c r="B1719" s="610"/>
      <c r="C1719" s="365"/>
      <c r="D1719" s="364"/>
      <c r="E1719" s="363"/>
      <c r="F1719" s="363"/>
      <c r="G1719" s="364"/>
      <c r="H1719" s="363"/>
      <c r="I1719" s="363"/>
      <c r="J1719" s="364"/>
      <c r="K1719" s="363"/>
      <c r="L1719" s="363"/>
      <c r="M1719" s="737"/>
      <c r="N1719" s="332"/>
      <c r="O1719" s="332"/>
      <c r="P1719" s="332"/>
      <c r="Q1719" s="332"/>
      <c r="R1719" s="332"/>
      <c r="S1719" s="332"/>
      <c r="T1719" s="332"/>
    </row>
    <row r="1720" spans="1:20" x14ac:dyDescent="0.6">
      <c r="A1720" s="334"/>
      <c r="B1720" s="610"/>
      <c r="C1720" s="365"/>
      <c r="D1720" s="364"/>
      <c r="E1720" s="363"/>
      <c r="F1720" s="363"/>
      <c r="G1720" s="364"/>
      <c r="H1720" s="363"/>
      <c r="I1720" s="363"/>
      <c r="J1720" s="364"/>
      <c r="K1720" s="363"/>
      <c r="L1720" s="363"/>
      <c r="M1720" s="737"/>
      <c r="N1720" s="332"/>
      <c r="O1720" s="332"/>
      <c r="P1720" s="332"/>
      <c r="Q1720" s="332"/>
      <c r="R1720" s="332"/>
      <c r="S1720" s="332"/>
      <c r="T1720" s="332"/>
    </row>
    <row r="1721" spans="1:20" x14ac:dyDescent="0.6">
      <c r="A1721" s="334"/>
      <c r="B1721" s="610"/>
      <c r="C1721" s="365"/>
      <c r="D1721" s="364"/>
      <c r="E1721" s="363"/>
      <c r="F1721" s="363"/>
      <c r="G1721" s="364"/>
      <c r="H1721" s="363"/>
      <c r="I1721" s="363"/>
      <c r="J1721" s="364"/>
      <c r="K1721" s="363"/>
      <c r="L1721" s="363"/>
      <c r="M1721" s="737"/>
      <c r="N1721" s="332"/>
      <c r="O1721" s="332"/>
      <c r="P1721" s="332"/>
      <c r="Q1721" s="332"/>
      <c r="R1721" s="332"/>
      <c r="S1721" s="332"/>
      <c r="T1721" s="332"/>
    </row>
    <row r="1722" spans="1:20" x14ac:dyDescent="0.6">
      <c r="A1722" s="334"/>
      <c r="B1722" s="610"/>
      <c r="C1722" s="365"/>
      <c r="D1722" s="364"/>
      <c r="E1722" s="363"/>
      <c r="F1722" s="363"/>
      <c r="G1722" s="364"/>
      <c r="H1722" s="363"/>
      <c r="I1722" s="363"/>
      <c r="J1722" s="364"/>
      <c r="K1722" s="363"/>
      <c r="L1722" s="363"/>
      <c r="M1722" s="737"/>
      <c r="N1722" s="332"/>
      <c r="O1722" s="332"/>
      <c r="P1722" s="332"/>
      <c r="Q1722" s="332"/>
      <c r="R1722" s="332"/>
      <c r="S1722" s="332"/>
      <c r="T1722" s="332"/>
    </row>
    <row r="1723" spans="1:20" x14ac:dyDescent="0.6">
      <c r="A1723" s="334"/>
      <c r="B1723" s="610"/>
      <c r="C1723" s="365"/>
      <c r="D1723" s="364"/>
      <c r="E1723" s="363"/>
      <c r="F1723" s="363"/>
      <c r="G1723" s="364"/>
      <c r="H1723" s="363"/>
      <c r="I1723" s="363"/>
      <c r="J1723" s="364"/>
      <c r="K1723" s="363"/>
      <c r="L1723" s="363"/>
      <c r="M1723" s="737"/>
      <c r="N1723" s="332"/>
      <c r="O1723" s="332"/>
      <c r="P1723" s="332"/>
      <c r="Q1723" s="332"/>
      <c r="R1723" s="332"/>
      <c r="S1723" s="332"/>
      <c r="T1723" s="332"/>
    </row>
    <row r="1724" spans="1:20" x14ac:dyDescent="0.6">
      <c r="A1724" s="334"/>
      <c r="B1724" s="610"/>
      <c r="C1724" s="365"/>
      <c r="D1724" s="364"/>
      <c r="E1724" s="363"/>
      <c r="F1724" s="363"/>
      <c r="G1724" s="364"/>
      <c r="H1724" s="363"/>
      <c r="I1724" s="363"/>
      <c r="J1724" s="364"/>
      <c r="K1724" s="363"/>
      <c r="L1724" s="363"/>
      <c r="M1724" s="737"/>
      <c r="N1724" s="332"/>
      <c r="O1724" s="332"/>
      <c r="P1724" s="332"/>
      <c r="Q1724" s="332"/>
      <c r="R1724" s="332"/>
      <c r="S1724" s="332"/>
      <c r="T1724" s="332"/>
    </row>
    <row r="1725" spans="1:20" x14ac:dyDescent="0.6">
      <c r="A1725" s="334"/>
      <c r="B1725" s="610"/>
      <c r="C1725" s="365"/>
      <c r="D1725" s="364"/>
      <c r="E1725" s="363"/>
      <c r="F1725" s="363"/>
      <c r="G1725" s="364"/>
      <c r="H1725" s="363"/>
      <c r="I1725" s="363"/>
      <c r="J1725" s="364"/>
      <c r="K1725" s="363"/>
      <c r="L1725" s="363"/>
      <c r="M1725" s="737"/>
      <c r="N1725" s="332"/>
      <c r="O1725" s="332"/>
      <c r="P1725" s="332"/>
      <c r="Q1725" s="332"/>
      <c r="R1725" s="332"/>
      <c r="S1725" s="332"/>
      <c r="T1725" s="332"/>
    </row>
    <row r="1726" spans="1:20" x14ac:dyDescent="0.6">
      <c r="A1726" s="334"/>
      <c r="B1726" s="610"/>
      <c r="C1726" s="365"/>
      <c r="D1726" s="364"/>
      <c r="E1726" s="363"/>
      <c r="F1726" s="363"/>
      <c r="G1726" s="364"/>
      <c r="H1726" s="363"/>
      <c r="I1726" s="363"/>
      <c r="J1726" s="364"/>
      <c r="K1726" s="363"/>
      <c r="L1726" s="363"/>
      <c r="M1726" s="737"/>
      <c r="N1726" s="332"/>
      <c r="O1726" s="332"/>
      <c r="P1726" s="332"/>
      <c r="Q1726" s="332"/>
      <c r="R1726" s="332"/>
      <c r="S1726" s="332"/>
      <c r="T1726" s="332"/>
    </row>
    <row r="1727" spans="1:20" x14ac:dyDescent="0.6">
      <c r="A1727" s="334"/>
      <c r="B1727" s="610"/>
      <c r="C1727" s="365"/>
      <c r="D1727" s="364"/>
      <c r="E1727" s="363"/>
      <c r="F1727" s="363"/>
      <c r="G1727" s="364"/>
      <c r="H1727" s="363"/>
      <c r="I1727" s="363"/>
      <c r="J1727" s="364"/>
      <c r="K1727" s="363"/>
      <c r="L1727" s="363"/>
      <c r="M1727" s="737"/>
      <c r="N1727" s="332"/>
      <c r="O1727" s="332"/>
      <c r="P1727" s="332"/>
      <c r="Q1727" s="332"/>
      <c r="R1727" s="332"/>
      <c r="S1727" s="332"/>
      <c r="T1727" s="332"/>
    </row>
    <row r="1728" spans="1:20" x14ac:dyDescent="0.6">
      <c r="A1728" s="334"/>
      <c r="B1728" s="610"/>
      <c r="C1728" s="365"/>
      <c r="D1728" s="364"/>
      <c r="E1728" s="363"/>
      <c r="F1728" s="363"/>
      <c r="G1728" s="364"/>
      <c r="H1728" s="363"/>
      <c r="I1728" s="363"/>
      <c r="J1728" s="364"/>
      <c r="K1728" s="363"/>
      <c r="L1728" s="363"/>
      <c r="M1728" s="737"/>
      <c r="N1728" s="332"/>
      <c r="O1728" s="332"/>
      <c r="P1728" s="332"/>
      <c r="Q1728" s="332"/>
      <c r="R1728" s="332"/>
      <c r="S1728" s="332"/>
      <c r="T1728" s="332"/>
    </row>
    <row r="1729" spans="1:20" x14ac:dyDescent="0.6">
      <c r="A1729" s="334"/>
      <c r="B1729" s="610"/>
      <c r="C1729" s="365"/>
      <c r="D1729" s="364"/>
      <c r="E1729" s="363"/>
      <c r="F1729" s="363"/>
      <c r="G1729" s="364"/>
      <c r="H1729" s="363"/>
      <c r="I1729" s="363"/>
      <c r="J1729" s="364"/>
      <c r="K1729" s="363"/>
      <c r="L1729" s="363"/>
      <c r="M1729" s="737"/>
      <c r="N1729" s="332"/>
      <c r="O1729" s="332"/>
      <c r="P1729" s="332"/>
      <c r="Q1729" s="332"/>
      <c r="R1729" s="332"/>
      <c r="S1729" s="332"/>
      <c r="T1729" s="332"/>
    </row>
    <row r="1730" spans="1:20" x14ac:dyDescent="0.6">
      <c r="A1730" s="334"/>
      <c r="B1730" s="610"/>
      <c r="C1730" s="365"/>
      <c r="D1730" s="364"/>
      <c r="E1730" s="363"/>
      <c r="F1730" s="363"/>
      <c r="G1730" s="364"/>
      <c r="H1730" s="363"/>
      <c r="I1730" s="363"/>
      <c r="J1730" s="364"/>
      <c r="K1730" s="363"/>
      <c r="L1730" s="363"/>
      <c r="M1730" s="737"/>
      <c r="N1730" s="332"/>
      <c r="O1730" s="332"/>
      <c r="P1730" s="332"/>
      <c r="Q1730" s="332"/>
      <c r="R1730" s="332"/>
      <c r="S1730" s="332"/>
      <c r="T1730" s="332"/>
    </row>
    <row r="1731" spans="1:20" x14ac:dyDescent="0.6">
      <c r="A1731" s="334"/>
      <c r="B1731" s="610"/>
      <c r="C1731" s="365"/>
      <c r="D1731" s="364"/>
      <c r="E1731" s="363"/>
      <c r="F1731" s="363"/>
      <c r="G1731" s="364"/>
      <c r="H1731" s="363"/>
      <c r="I1731" s="363"/>
      <c r="J1731" s="364"/>
      <c r="K1731" s="363"/>
      <c r="L1731" s="363"/>
      <c r="M1731" s="737"/>
      <c r="N1731" s="332"/>
      <c r="O1731" s="332"/>
      <c r="P1731" s="332"/>
      <c r="Q1731" s="332"/>
      <c r="R1731" s="332"/>
      <c r="S1731" s="332"/>
      <c r="T1731" s="332"/>
    </row>
    <row r="1732" spans="1:20" x14ac:dyDescent="0.6">
      <c r="A1732" s="334"/>
      <c r="B1732" s="610"/>
      <c r="C1732" s="365"/>
      <c r="D1732" s="364"/>
      <c r="E1732" s="363"/>
      <c r="F1732" s="363"/>
      <c r="G1732" s="364"/>
      <c r="H1732" s="363"/>
      <c r="I1732" s="363"/>
      <c r="J1732" s="364"/>
      <c r="K1732" s="363"/>
      <c r="L1732" s="363"/>
      <c r="M1732" s="737"/>
      <c r="N1732" s="332"/>
      <c r="O1732" s="332"/>
      <c r="P1732" s="332"/>
      <c r="Q1732" s="332"/>
      <c r="R1732" s="332"/>
      <c r="S1732" s="332"/>
      <c r="T1732" s="332"/>
    </row>
    <row r="1733" spans="1:20" x14ac:dyDescent="0.6">
      <c r="A1733" s="334"/>
      <c r="B1733" s="610"/>
      <c r="C1733" s="365"/>
      <c r="D1733" s="364"/>
      <c r="E1733" s="363"/>
      <c r="F1733" s="363"/>
      <c r="G1733" s="364"/>
      <c r="H1733" s="363"/>
      <c r="I1733" s="363"/>
      <c r="J1733" s="364"/>
      <c r="K1733" s="363"/>
      <c r="L1733" s="363"/>
      <c r="M1733" s="737"/>
      <c r="N1733" s="332"/>
      <c r="O1733" s="332"/>
      <c r="P1733" s="332"/>
      <c r="Q1733" s="332"/>
      <c r="R1733" s="332"/>
      <c r="S1733" s="332"/>
      <c r="T1733" s="332"/>
    </row>
    <row r="1734" spans="1:20" x14ac:dyDescent="0.6">
      <c r="A1734" s="334"/>
      <c r="B1734" s="610"/>
      <c r="C1734" s="365"/>
      <c r="D1734" s="364"/>
      <c r="E1734" s="363"/>
      <c r="F1734" s="363"/>
      <c r="G1734" s="364"/>
      <c r="H1734" s="363"/>
      <c r="I1734" s="363"/>
      <c r="J1734" s="364"/>
      <c r="K1734" s="363"/>
      <c r="L1734" s="363"/>
      <c r="M1734" s="737"/>
      <c r="N1734" s="332"/>
      <c r="O1734" s="332"/>
      <c r="P1734" s="332"/>
      <c r="Q1734" s="332"/>
      <c r="R1734" s="332"/>
      <c r="S1734" s="332"/>
      <c r="T1734" s="332"/>
    </row>
    <row r="1735" spans="1:20" x14ac:dyDescent="0.6">
      <c r="A1735" s="334"/>
      <c r="B1735" s="610"/>
      <c r="C1735" s="365"/>
      <c r="D1735" s="364"/>
      <c r="E1735" s="363"/>
      <c r="F1735" s="363"/>
      <c r="G1735" s="364"/>
      <c r="H1735" s="363"/>
      <c r="I1735" s="363"/>
      <c r="J1735" s="364"/>
      <c r="K1735" s="363"/>
      <c r="L1735" s="363"/>
      <c r="M1735" s="737"/>
      <c r="N1735" s="332"/>
      <c r="O1735" s="332"/>
      <c r="P1735" s="332"/>
      <c r="Q1735" s="332"/>
      <c r="R1735" s="332"/>
      <c r="S1735" s="332"/>
      <c r="T1735" s="332"/>
    </row>
    <row r="1736" spans="1:20" x14ac:dyDescent="0.6">
      <c r="A1736" s="334"/>
      <c r="B1736" s="610"/>
      <c r="C1736" s="365"/>
      <c r="D1736" s="364"/>
      <c r="E1736" s="363"/>
      <c r="F1736" s="363"/>
      <c r="G1736" s="364"/>
      <c r="H1736" s="363"/>
      <c r="I1736" s="363"/>
      <c r="J1736" s="364"/>
      <c r="K1736" s="363"/>
      <c r="L1736" s="363"/>
      <c r="M1736" s="737"/>
      <c r="N1736" s="332"/>
      <c r="O1736" s="332"/>
      <c r="P1736" s="332"/>
      <c r="Q1736" s="332"/>
      <c r="R1736" s="332"/>
      <c r="S1736" s="332"/>
      <c r="T1736" s="332"/>
    </row>
    <row r="1737" spans="1:20" x14ac:dyDescent="0.6">
      <c r="A1737" s="334"/>
      <c r="B1737" s="610"/>
      <c r="C1737" s="365"/>
      <c r="D1737" s="364"/>
      <c r="E1737" s="363"/>
      <c r="F1737" s="363"/>
      <c r="G1737" s="364"/>
      <c r="H1737" s="363"/>
      <c r="I1737" s="363"/>
      <c r="J1737" s="364"/>
      <c r="K1737" s="363"/>
      <c r="L1737" s="363"/>
      <c r="M1737" s="737"/>
      <c r="N1737" s="332"/>
      <c r="O1737" s="332"/>
      <c r="P1737" s="332"/>
      <c r="Q1737" s="332"/>
      <c r="R1737" s="332"/>
      <c r="S1737" s="332"/>
      <c r="T1737" s="332"/>
    </row>
    <row r="1738" spans="1:20" x14ac:dyDescent="0.6">
      <c r="A1738" s="334"/>
      <c r="B1738" s="610"/>
      <c r="C1738" s="365"/>
      <c r="D1738" s="364"/>
      <c r="E1738" s="363"/>
      <c r="F1738" s="363"/>
      <c r="G1738" s="364"/>
      <c r="H1738" s="363"/>
      <c r="I1738" s="363"/>
      <c r="J1738" s="364"/>
      <c r="K1738" s="363"/>
      <c r="L1738" s="363"/>
      <c r="M1738" s="737"/>
      <c r="N1738" s="332"/>
      <c r="O1738" s="332"/>
      <c r="P1738" s="332"/>
      <c r="Q1738" s="332"/>
      <c r="R1738" s="332"/>
      <c r="S1738" s="332"/>
      <c r="T1738" s="332"/>
    </row>
    <row r="1739" spans="1:20" x14ac:dyDescent="0.6">
      <c r="A1739" s="334"/>
      <c r="B1739" s="610"/>
      <c r="C1739" s="365"/>
      <c r="D1739" s="364"/>
      <c r="E1739" s="363"/>
      <c r="F1739" s="363"/>
      <c r="G1739" s="364"/>
      <c r="H1739" s="363"/>
      <c r="I1739" s="363"/>
      <c r="J1739" s="364"/>
      <c r="K1739" s="363"/>
      <c r="L1739" s="363"/>
      <c r="M1739" s="737"/>
      <c r="N1739" s="332"/>
      <c r="O1739" s="332"/>
      <c r="P1739" s="332"/>
      <c r="Q1739" s="332"/>
      <c r="R1739" s="332"/>
      <c r="S1739" s="332"/>
      <c r="T1739" s="332"/>
    </row>
    <row r="1740" spans="1:20" x14ac:dyDescent="0.6">
      <c r="A1740" s="334"/>
      <c r="B1740" s="610"/>
      <c r="C1740" s="365"/>
      <c r="D1740" s="364"/>
      <c r="E1740" s="363"/>
      <c r="F1740" s="363"/>
      <c r="G1740" s="364"/>
      <c r="H1740" s="363"/>
      <c r="I1740" s="363"/>
      <c r="J1740" s="364"/>
      <c r="K1740" s="363"/>
      <c r="L1740" s="363"/>
      <c r="M1740" s="737"/>
      <c r="N1740" s="332"/>
      <c r="O1740" s="332"/>
      <c r="P1740" s="332"/>
      <c r="Q1740" s="332"/>
      <c r="R1740" s="332"/>
      <c r="S1740" s="332"/>
      <c r="T1740" s="332"/>
    </row>
    <row r="1741" spans="1:20" x14ac:dyDescent="0.6">
      <c r="A1741" s="334"/>
      <c r="B1741" s="610"/>
      <c r="C1741" s="365"/>
      <c r="D1741" s="364"/>
      <c r="E1741" s="363"/>
      <c r="F1741" s="363"/>
      <c r="G1741" s="364"/>
      <c r="H1741" s="363"/>
      <c r="I1741" s="363"/>
      <c r="J1741" s="364"/>
      <c r="K1741" s="363"/>
      <c r="L1741" s="363"/>
      <c r="M1741" s="737"/>
      <c r="N1741" s="332"/>
      <c r="O1741" s="332"/>
      <c r="P1741" s="332"/>
      <c r="Q1741" s="332"/>
      <c r="R1741" s="332"/>
      <c r="S1741" s="332"/>
      <c r="T1741" s="332"/>
    </row>
    <row r="1742" spans="1:20" x14ac:dyDescent="0.6">
      <c r="A1742" s="334"/>
      <c r="B1742" s="610"/>
      <c r="C1742" s="365"/>
      <c r="D1742" s="364"/>
      <c r="E1742" s="363"/>
      <c r="F1742" s="363"/>
      <c r="G1742" s="364"/>
      <c r="H1742" s="363"/>
      <c r="I1742" s="363"/>
      <c r="J1742" s="364"/>
      <c r="K1742" s="363"/>
      <c r="L1742" s="363"/>
      <c r="M1742" s="737"/>
      <c r="N1742" s="332"/>
      <c r="O1742" s="332"/>
      <c r="P1742" s="332"/>
      <c r="Q1742" s="332"/>
      <c r="R1742" s="332"/>
      <c r="S1742" s="332"/>
      <c r="T1742" s="332"/>
    </row>
    <row r="1743" spans="1:20" x14ac:dyDescent="0.6">
      <c r="A1743" s="334"/>
      <c r="B1743" s="610"/>
      <c r="C1743" s="365"/>
      <c r="D1743" s="364"/>
      <c r="E1743" s="363"/>
      <c r="F1743" s="363"/>
      <c r="G1743" s="364"/>
      <c r="H1743" s="363"/>
      <c r="I1743" s="363"/>
      <c r="J1743" s="364"/>
      <c r="K1743" s="363"/>
      <c r="L1743" s="363"/>
      <c r="M1743" s="737"/>
      <c r="N1743" s="332"/>
      <c r="O1743" s="332"/>
      <c r="P1743" s="332"/>
      <c r="Q1743" s="332"/>
      <c r="R1743" s="332"/>
      <c r="S1743" s="332"/>
      <c r="T1743" s="332"/>
    </row>
    <row r="1744" spans="1:20" x14ac:dyDescent="0.6">
      <c r="A1744" s="334"/>
      <c r="B1744" s="610"/>
      <c r="C1744" s="365"/>
      <c r="D1744" s="364"/>
      <c r="E1744" s="363"/>
      <c r="F1744" s="363"/>
      <c r="G1744" s="364"/>
      <c r="H1744" s="363"/>
      <c r="I1744" s="363"/>
      <c r="J1744" s="364"/>
      <c r="K1744" s="363"/>
      <c r="L1744" s="363"/>
      <c r="M1744" s="737"/>
      <c r="N1744" s="332"/>
      <c r="O1744" s="332"/>
      <c r="P1744" s="332"/>
      <c r="Q1744" s="332"/>
      <c r="R1744" s="332"/>
      <c r="S1744" s="332"/>
      <c r="T1744" s="332"/>
    </row>
    <row r="1745" spans="1:20" x14ac:dyDescent="0.6">
      <c r="A1745" s="334"/>
      <c r="B1745" s="610"/>
      <c r="C1745" s="365"/>
      <c r="D1745" s="364"/>
      <c r="E1745" s="363"/>
      <c r="F1745" s="363"/>
      <c r="G1745" s="364"/>
      <c r="H1745" s="363"/>
      <c r="I1745" s="363"/>
      <c r="J1745" s="364"/>
      <c r="K1745" s="363"/>
      <c r="L1745" s="363"/>
      <c r="M1745" s="737"/>
      <c r="N1745" s="332"/>
      <c r="O1745" s="332"/>
      <c r="P1745" s="332"/>
      <c r="Q1745" s="332"/>
      <c r="R1745" s="332"/>
      <c r="S1745" s="332"/>
      <c r="T1745" s="332"/>
    </row>
    <row r="1746" spans="1:20" x14ac:dyDescent="0.6">
      <c r="A1746" s="334"/>
      <c r="B1746" s="610"/>
      <c r="C1746" s="365"/>
      <c r="D1746" s="364"/>
      <c r="E1746" s="363"/>
      <c r="F1746" s="363"/>
      <c r="G1746" s="364"/>
      <c r="H1746" s="363"/>
      <c r="I1746" s="363"/>
      <c r="J1746" s="364"/>
      <c r="K1746" s="363"/>
      <c r="L1746" s="363"/>
      <c r="M1746" s="737"/>
      <c r="N1746" s="332"/>
      <c r="O1746" s="332"/>
      <c r="P1746" s="332"/>
      <c r="Q1746" s="332"/>
      <c r="R1746" s="332"/>
      <c r="S1746" s="332"/>
      <c r="T1746" s="332"/>
    </row>
    <row r="1747" spans="1:20" x14ac:dyDescent="0.6">
      <c r="A1747" s="334"/>
      <c r="B1747" s="610"/>
      <c r="C1747" s="365"/>
      <c r="D1747" s="364"/>
      <c r="E1747" s="363"/>
      <c r="F1747" s="363"/>
      <c r="G1747" s="364"/>
      <c r="H1747" s="363"/>
      <c r="I1747" s="363"/>
      <c r="J1747" s="364"/>
      <c r="K1747" s="363"/>
      <c r="L1747" s="363"/>
      <c r="M1747" s="737"/>
      <c r="N1747" s="332"/>
      <c r="O1747" s="332"/>
      <c r="P1747" s="332"/>
      <c r="Q1747" s="332"/>
      <c r="R1747" s="332"/>
      <c r="S1747" s="332"/>
      <c r="T1747" s="332"/>
    </row>
    <row r="1748" spans="1:20" x14ac:dyDescent="0.6">
      <c r="A1748" s="334"/>
      <c r="B1748" s="610"/>
      <c r="C1748" s="365"/>
      <c r="D1748" s="364"/>
      <c r="E1748" s="363"/>
      <c r="F1748" s="363"/>
      <c r="G1748" s="364"/>
      <c r="H1748" s="363"/>
      <c r="I1748" s="363"/>
      <c r="J1748" s="364"/>
      <c r="K1748" s="363"/>
      <c r="L1748" s="363"/>
      <c r="M1748" s="737"/>
      <c r="N1748" s="332"/>
      <c r="O1748" s="332"/>
      <c r="P1748" s="332"/>
      <c r="Q1748" s="332"/>
      <c r="R1748" s="332"/>
      <c r="S1748" s="332"/>
      <c r="T1748" s="332"/>
    </row>
    <row r="1749" spans="1:20" x14ac:dyDescent="0.6">
      <c r="A1749" s="334"/>
      <c r="B1749" s="610"/>
      <c r="C1749" s="365"/>
      <c r="D1749" s="364"/>
      <c r="E1749" s="363"/>
      <c r="F1749" s="363"/>
      <c r="G1749" s="364"/>
      <c r="H1749" s="363"/>
      <c r="I1749" s="363"/>
      <c r="J1749" s="364"/>
      <c r="K1749" s="363"/>
      <c r="L1749" s="363"/>
      <c r="M1749" s="737"/>
      <c r="N1749" s="332"/>
      <c r="O1749" s="332"/>
      <c r="P1749" s="332"/>
      <c r="Q1749" s="332"/>
      <c r="R1749" s="332"/>
      <c r="S1749" s="332"/>
      <c r="T1749" s="332"/>
    </row>
    <row r="1750" spans="1:20" x14ac:dyDescent="0.6">
      <c r="A1750" s="334"/>
      <c r="B1750" s="610"/>
      <c r="C1750" s="365"/>
      <c r="D1750" s="364"/>
      <c r="E1750" s="363"/>
      <c r="F1750" s="363"/>
      <c r="G1750" s="364"/>
      <c r="H1750" s="363"/>
      <c r="I1750" s="363"/>
      <c r="J1750" s="364"/>
      <c r="K1750" s="363"/>
      <c r="L1750" s="363"/>
      <c r="M1750" s="737"/>
      <c r="N1750" s="332"/>
      <c r="O1750" s="332"/>
      <c r="P1750" s="332"/>
      <c r="Q1750" s="332"/>
      <c r="R1750" s="332"/>
      <c r="S1750" s="332"/>
      <c r="T1750" s="332"/>
    </row>
    <row r="1751" spans="1:20" x14ac:dyDescent="0.6">
      <c r="A1751" s="334"/>
      <c r="B1751" s="610"/>
      <c r="C1751" s="365"/>
      <c r="D1751" s="364"/>
      <c r="E1751" s="363"/>
      <c r="F1751" s="363"/>
      <c r="G1751" s="364"/>
      <c r="H1751" s="363"/>
      <c r="I1751" s="363"/>
      <c r="J1751" s="364"/>
      <c r="K1751" s="363"/>
      <c r="L1751" s="363"/>
      <c r="M1751" s="737"/>
      <c r="N1751" s="332"/>
      <c r="O1751" s="332"/>
      <c r="P1751" s="332"/>
      <c r="Q1751" s="332"/>
      <c r="R1751" s="332"/>
      <c r="S1751" s="332"/>
      <c r="T1751" s="332"/>
    </row>
    <row r="1752" spans="1:20" x14ac:dyDescent="0.6">
      <c r="A1752" s="334"/>
      <c r="B1752" s="610"/>
      <c r="C1752" s="365"/>
      <c r="D1752" s="364"/>
      <c r="E1752" s="363"/>
      <c r="F1752" s="363"/>
      <c r="G1752" s="364"/>
      <c r="H1752" s="363"/>
      <c r="I1752" s="363"/>
      <c r="J1752" s="364"/>
      <c r="K1752" s="363"/>
      <c r="L1752" s="363"/>
      <c r="M1752" s="737"/>
      <c r="N1752" s="332"/>
      <c r="O1752" s="332"/>
      <c r="P1752" s="332"/>
      <c r="Q1752" s="332"/>
      <c r="R1752" s="332"/>
      <c r="S1752" s="332"/>
      <c r="T1752" s="332"/>
    </row>
    <row r="1753" spans="1:20" x14ac:dyDescent="0.6">
      <c r="A1753" s="334"/>
      <c r="B1753" s="610"/>
      <c r="C1753" s="365"/>
      <c r="D1753" s="364"/>
      <c r="E1753" s="363"/>
      <c r="F1753" s="363"/>
      <c r="G1753" s="364"/>
      <c r="H1753" s="363"/>
      <c r="I1753" s="363"/>
      <c r="J1753" s="364"/>
      <c r="K1753" s="363"/>
      <c r="L1753" s="363"/>
      <c r="M1753" s="737"/>
      <c r="N1753" s="332"/>
      <c r="O1753" s="332"/>
      <c r="P1753" s="332"/>
      <c r="Q1753" s="332"/>
      <c r="R1753" s="332"/>
      <c r="S1753" s="332"/>
      <c r="T1753" s="332"/>
    </row>
    <row r="1754" spans="1:20" x14ac:dyDescent="0.6">
      <c r="A1754" s="334"/>
      <c r="B1754" s="610"/>
      <c r="C1754" s="365"/>
      <c r="D1754" s="364"/>
      <c r="E1754" s="363"/>
      <c r="F1754" s="363"/>
      <c r="G1754" s="364"/>
      <c r="H1754" s="363"/>
      <c r="I1754" s="363"/>
      <c r="J1754" s="364"/>
      <c r="K1754" s="363"/>
      <c r="L1754" s="363"/>
      <c r="M1754" s="737"/>
      <c r="N1754" s="332"/>
      <c r="O1754" s="332"/>
      <c r="P1754" s="332"/>
      <c r="Q1754" s="332"/>
      <c r="R1754" s="332"/>
      <c r="S1754" s="332"/>
      <c r="T1754" s="332"/>
    </row>
    <row r="1755" spans="1:20" x14ac:dyDescent="0.6">
      <c r="A1755" s="334"/>
      <c r="B1755" s="610"/>
      <c r="C1755" s="365"/>
      <c r="D1755" s="364"/>
      <c r="E1755" s="363"/>
      <c r="F1755" s="363"/>
      <c r="G1755" s="364"/>
      <c r="H1755" s="363"/>
      <c r="I1755" s="363"/>
      <c r="J1755" s="364"/>
      <c r="K1755" s="363"/>
      <c r="L1755" s="363"/>
      <c r="M1755" s="737"/>
      <c r="N1755" s="332"/>
      <c r="O1755" s="332"/>
      <c r="P1755" s="332"/>
      <c r="Q1755" s="332"/>
      <c r="R1755" s="332"/>
      <c r="S1755" s="332"/>
      <c r="T1755" s="332"/>
    </row>
    <row r="1756" spans="1:20" x14ac:dyDescent="0.6">
      <c r="A1756" s="334"/>
      <c r="B1756" s="610"/>
      <c r="C1756" s="365"/>
      <c r="D1756" s="364"/>
      <c r="E1756" s="363"/>
      <c r="F1756" s="363"/>
      <c r="G1756" s="364"/>
      <c r="H1756" s="363"/>
      <c r="I1756" s="363"/>
      <c r="J1756" s="364"/>
      <c r="K1756" s="363"/>
      <c r="L1756" s="363"/>
      <c r="M1756" s="737"/>
      <c r="N1756" s="332"/>
      <c r="O1756" s="332"/>
      <c r="P1756" s="332"/>
      <c r="Q1756" s="332"/>
      <c r="R1756" s="332"/>
      <c r="S1756" s="332"/>
      <c r="T1756" s="332"/>
    </row>
    <row r="1757" spans="1:20" x14ac:dyDescent="0.6">
      <c r="A1757" s="334"/>
      <c r="B1757" s="610"/>
      <c r="C1757" s="365"/>
      <c r="D1757" s="364"/>
      <c r="E1757" s="363"/>
      <c r="F1757" s="363"/>
      <c r="G1757" s="364"/>
      <c r="H1757" s="363"/>
      <c r="I1757" s="363"/>
      <c r="J1757" s="364"/>
      <c r="K1757" s="363"/>
      <c r="L1757" s="363"/>
      <c r="M1757" s="737"/>
      <c r="N1757" s="332"/>
      <c r="O1757" s="332"/>
      <c r="P1757" s="332"/>
      <c r="Q1757" s="332"/>
      <c r="R1757" s="332"/>
      <c r="S1757" s="332"/>
      <c r="T1757" s="332"/>
    </row>
    <row r="1758" spans="1:20" x14ac:dyDescent="0.6">
      <c r="A1758" s="334"/>
      <c r="B1758" s="610"/>
      <c r="C1758" s="365"/>
      <c r="D1758" s="364"/>
      <c r="E1758" s="363"/>
      <c r="F1758" s="363"/>
      <c r="G1758" s="364"/>
      <c r="H1758" s="363"/>
      <c r="I1758" s="363"/>
      <c r="J1758" s="364"/>
      <c r="K1758" s="363"/>
      <c r="L1758" s="363"/>
      <c r="M1758" s="737"/>
      <c r="N1758" s="332"/>
      <c r="O1758" s="332"/>
      <c r="P1758" s="332"/>
      <c r="Q1758" s="332"/>
      <c r="R1758" s="332"/>
      <c r="S1758" s="332"/>
      <c r="T1758" s="332"/>
    </row>
    <row r="1759" spans="1:20" x14ac:dyDescent="0.6">
      <c r="A1759" s="334"/>
      <c r="B1759" s="610"/>
      <c r="C1759" s="365"/>
      <c r="D1759" s="364"/>
      <c r="E1759" s="363"/>
      <c r="F1759" s="363"/>
      <c r="G1759" s="364"/>
      <c r="H1759" s="363"/>
      <c r="I1759" s="363"/>
      <c r="J1759" s="364"/>
      <c r="K1759" s="363"/>
      <c r="L1759" s="363"/>
      <c r="M1759" s="737"/>
      <c r="N1759" s="332"/>
      <c r="O1759" s="332"/>
      <c r="P1759" s="332"/>
      <c r="Q1759" s="332"/>
      <c r="R1759" s="332"/>
      <c r="S1759" s="332"/>
      <c r="T1759" s="332"/>
    </row>
    <row r="1760" spans="1:20" x14ac:dyDescent="0.6">
      <c r="A1760" s="334"/>
      <c r="B1760" s="610"/>
      <c r="C1760" s="365"/>
      <c r="D1760" s="364"/>
      <c r="E1760" s="363"/>
      <c r="F1760" s="363"/>
      <c r="G1760" s="364"/>
      <c r="H1760" s="363"/>
      <c r="I1760" s="363"/>
      <c r="J1760" s="364"/>
      <c r="K1760" s="363"/>
      <c r="L1760" s="363"/>
      <c r="M1760" s="737"/>
      <c r="N1760" s="332"/>
      <c r="O1760" s="332"/>
      <c r="P1760" s="332"/>
      <c r="Q1760" s="332"/>
      <c r="R1760" s="332"/>
      <c r="S1760" s="332"/>
      <c r="T1760" s="332"/>
    </row>
    <row r="1761" spans="1:20" x14ac:dyDescent="0.6">
      <c r="A1761" s="334"/>
      <c r="B1761" s="610"/>
      <c r="C1761" s="365"/>
      <c r="D1761" s="364"/>
      <c r="E1761" s="363"/>
      <c r="F1761" s="363"/>
      <c r="G1761" s="364"/>
      <c r="H1761" s="363"/>
      <c r="I1761" s="363"/>
      <c r="J1761" s="364"/>
      <c r="K1761" s="363"/>
      <c r="L1761" s="363"/>
      <c r="M1761" s="737"/>
      <c r="N1761" s="332"/>
      <c r="O1761" s="332"/>
      <c r="P1761" s="332"/>
      <c r="Q1761" s="332"/>
      <c r="R1761" s="332"/>
      <c r="S1761" s="332"/>
      <c r="T1761" s="332"/>
    </row>
    <row r="1762" spans="1:20" x14ac:dyDescent="0.6">
      <c r="A1762" s="334"/>
      <c r="B1762" s="610"/>
      <c r="C1762" s="365"/>
      <c r="D1762" s="364"/>
      <c r="E1762" s="363"/>
      <c r="F1762" s="363"/>
      <c r="G1762" s="364"/>
      <c r="H1762" s="363"/>
      <c r="I1762" s="363"/>
      <c r="J1762" s="364"/>
      <c r="K1762" s="363"/>
      <c r="L1762" s="363"/>
      <c r="M1762" s="737"/>
      <c r="N1762" s="332"/>
      <c r="O1762" s="332"/>
      <c r="P1762" s="332"/>
      <c r="Q1762" s="332"/>
      <c r="R1762" s="332"/>
      <c r="S1762" s="332"/>
      <c r="T1762" s="332"/>
    </row>
    <row r="1763" spans="1:20" x14ac:dyDescent="0.6">
      <c r="A1763" s="334"/>
      <c r="B1763" s="610"/>
      <c r="C1763" s="365"/>
      <c r="D1763" s="364"/>
      <c r="E1763" s="363"/>
      <c r="F1763" s="363"/>
      <c r="G1763" s="364"/>
      <c r="H1763" s="363"/>
      <c r="I1763" s="363"/>
      <c r="J1763" s="364"/>
      <c r="K1763" s="363"/>
      <c r="L1763" s="363"/>
      <c r="M1763" s="737"/>
      <c r="N1763" s="332"/>
      <c r="O1763" s="332"/>
      <c r="P1763" s="332"/>
      <c r="Q1763" s="332"/>
      <c r="R1763" s="332"/>
      <c r="S1763" s="332"/>
      <c r="T1763" s="332"/>
    </row>
    <row r="1764" spans="1:20" x14ac:dyDescent="0.6">
      <c r="A1764" s="334"/>
      <c r="B1764" s="610"/>
      <c r="C1764" s="365"/>
      <c r="D1764" s="364"/>
      <c r="E1764" s="363"/>
      <c r="F1764" s="363"/>
      <c r="G1764" s="364"/>
      <c r="H1764" s="363"/>
      <c r="I1764" s="363"/>
      <c r="J1764" s="364"/>
      <c r="K1764" s="363"/>
      <c r="L1764" s="363"/>
      <c r="M1764" s="737"/>
      <c r="N1764" s="332"/>
      <c r="O1764" s="332"/>
      <c r="P1764" s="332"/>
      <c r="Q1764" s="332"/>
      <c r="R1764" s="332"/>
      <c r="S1764" s="332"/>
      <c r="T1764" s="332"/>
    </row>
    <row r="1765" spans="1:20" x14ac:dyDescent="0.6">
      <c r="A1765" s="334"/>
      <c r="B1765" s="610"/>
      <c r="C1765" s="365"/>
      <c r="D1765" s="364"/>
      <c r="E1765" s="363"/>
      <c r="F1765" s="363"/>
      <c r="G1765" s="364"/>
      <c r="H1765" s="363"/>
      <c r="I1765" s="363"/>
      <c r="J1765" s="364"/>
      <c r="K1765" s="363"/>
      <c r="L1765" s="363"/>
      <c r="M1765" s="737"/>
      <c r="N1765" s="332"/>
      <c r="O1765" s="332"/>
      <c r="P1765" s="332"/>
      <c r="Q1765" s="332"/>
      <c r="R1765" s="332"/>
      <c r="S1765" s="332"/>
      <c r="T1765" s="332"/>
    </row>
    <row r="1766" spans="1:20" x14ac:dyDescent="0.6">
      <c r="A1766" s="334"/>
      <c r="B1766" s="610"/>
      <c r="C1766" s="365"/>
      <c r="D1766" s="364"/>
      <c r="E1766" s="363"/>
      <c r="F1766" s="363"/>
      <c r="G1766" s="364"/>
      <c r="H1766" s="363"/>
      <c r="I1766" s="363"/>
      <c r="J1766" s="364"/>
      <c r="K1766" s="363"/>
      <c r="L1766" s="363"/>
      <c r="M1766" s="737"/>
      <c r="N1766" s="332"/>
      <c r="O1766" s="332"/>
      <c r="P1766" s="332"/>
      <c r="Q1766" s="332"/>
      <c r="R1766" s="332"/>
      <c r="S1766" s="332"/>
      <c r="T1766" s="332"/>
    </row>
    <row r="1767" spans="1:20" x14ac:dyDescent="0.6">
      <c r="A1767" s="334"/>
      <c r="B1767" s="610"/>
      <c r="C1767" s="365"/>
      <c r="D1767" s="364"/>
      <c r="E1767" s="363"/>
      <c r="F1767" s="363"/>
      <c r="G1767" s="364"/>
      <c r="H1767" s="363"/>
      <c r="I1767" s="363"/>
      <c r="J1767" s="364"/>
      <c r="K1767" s="363"/>
      <c r="L1767" s="363"/>
      <c r="M1767" s="737"/>
      <c r="N1767" s="332"/>
      <c r="O1767" s="332"/>
      <c r="P1767" s="332"/>
      <c r="Q1767" s="332"/>
      <c r="R1767" s="332"/>
      <c r="S1767" s="332"/>
      <c r="T1767" s="332"/>
    </row>
    <row r="1768" spans="1:20" x14ac:dyDescent="0.6">
      <c r="A1768" s="334"/>
      <c r="B1768" s="610"/>
      <c r="C1768" s="365"/>
      <c r="D1768" s="364"/>
      <c r="E1768" s="363"/>
      <c r="F1768" s="363"/>
      <c r="G1768" s="364"/>
      <c r="H1768" s="363"/>
      <c r="I1768" s="363"/>
      <c r="J1768" s="364"/>
      <c r="K1768" s="363"/>
      <c r="L1768" s="363"/>
      <c r="M1768" s="737"/>
      <c r="N1768" s="332"/>
      <c r="O1768" s="332"/>
      <c r="P1768" s="332"/>
      <c r="Q1768" s="332"/>
      <c r="R1768" s="332"/>
      <c r="S1768" s="332"/>
      <c r="T1768" s="332"/>
    </row>
    <row r="1769" spans="1:20" x14ac:dyDescent="0.6">
      <c r="A1769" s="334"/>
      <c r="B1769" s="610"/>
      <c r="C1769" s="365"/>
      <c r="D1769" s="364"/>
      <c r="E1769" s="363"/>
      <c r="F1769" s="363"/>
      <c r="G1769" s="364"/>
      <c r="H1769" s="363"/>
      <c r="I1769" s="363"/>
      <c r="J1769" s="364"/>
      <c r="K1769" s="363"/>
      <c r="L1769" s="363"/>
      <c r="M1769" s="737"/>
      <c r="N1769" s="332"/>
      <c r="O1769" s="332"/>
      <c r="P1769" s="332"/>
      <c r="Q1769" s="332"/>
      <c r="R1769" s="332"/>
      <c r="S1769" s="332"/>
      <c r="T1769" s="332"/>
    </row>
    <row r="1770" spans="1:20" x14ac:dyDescent="0.6">
      <c r="A1770" s="334"/>
      <c r="B1770" s="610"/>
      <c r="C1770" s="365"/>
      <c r="D1770" s="364"/>
      <c r="E1770" s="363"/>
      <c r="F1770" s="363"/>
      <c r="G1770" s="364"/>
      <c r="H1770" s="363"/>
      <c r="I1770" s="363"/>
      <c r="J1770" s="364"/>
      <c r="K1770" s="363"/>
      <c r="L1770" s="363"/>
      <c r="M1770" s="737"/>
      <c r="N1770" s="332"/>
      <c r="O1770" s="332"/>
      <c r="P1770" s="332"/>
      <c r="Q1770" s="332"/>
      <c r="R1770" s="332"/>
      <c r="S1770" s="332"/>
      <c r="T1770" s="332"/>
    </row>
    <row r="1771" spans="1:20" x14ac:dyDescent="0.6">
      <c r="A1771" s="334"/>
      <c r="B1771" s="610"/>
      <c r="C1771" s="365"/>
      <c r="D1771" s="364"/>
      <c r="E1771" s="363"/>
      <c r="F1771" s="363"/>
      <c r="G1771" s="364"/>
      <c r="H1771" s="363"/>
      <c r="I1771" s="363"/>
      <c r="J1771" s="364"/>
      <c r="K1771" s="363"/>
      <c r="L1771" s="363"/>
      <c r="M1771" s="737"/>
      <c r="N1771" s="332"/>
      <c r="O1771" s="332"/>
      <c r="P1771" s="332"/>
      <c r="Q1771" s="332"/>
      <c r="R1771" s="332"/>
      <c r="S1771" s="332"/>
      <c r="T1771" s="332"/>
    </row>
    <row r="1772" spans="1:20" x14ac:dyDescent="0.6">
      <c r="A1772" s="334"/>
      <c r="B1772" s="610"/>
      <c r="C1772" s="365"/>
      <c r="D1772" s="364"/>
      <c r="E1772" s="363"/>
      <c r="F1772" s="363"/>
      <c r="G1772" s="364"/>
      <c r="H1772" s="363"/>
      <c r="I1772" s="363"/>
      <c r="J1772" s="364"/>
      <c r="K1772" s="363"/>
      <c r="L1772" s="363"/>
      <c r="M1772" s="737"/>
      <c r="N1772" s="332"/>
      <c r="O1772" s="332"/>
      <c r="P1772" s="332"/>
      <c r="Q1772" s="332"/>
      <c r="R1772" s="332"/>
      <c r="S1772" s="332"/>
      <c r="T1772" s="332"/>
    </row>
    <row r="1773" spans="1:20" x14ac:dyDescent="0.6">
      <c r="A1773" s="334"/>
      <c r="B1773" s="610"/>
      <c r="C1773" s="365"/>
      <c r="D1773" s="364"/>
      <c r="E1773" s="363"/>
      <c r="F1773" s="363"/>
      <c r="G1773" s="364"/>
      <c r="H1773" s="363"/>
      <c r="I1773" s="363"/>
      <c r="J1773" s="364"/>
      <c r="K1773" s="363"/>
      <c r="L1773" s="363"/>
      <c r="M1773" s="737"/>
      <c r="N1773" s="332"/>
      <c r="O1773" s="332"/>
      <c r="P1773" s="332"/>
      <c r="Q1773" s="332"/>
      <c r="R1773" s="332"/>
      <c r="S1773" s="332"/>
      <c r="T1773" s="332"/>
    </row>
    <row r="1774" spans="1:20" x14ac:dyDescent="0.6">
      <c r="A1774" s="334"/>
      <c r="B1774" s="610"/>
      <c r="C1774" s="365"/>
      <c r="D1774" s="364"/>
      <c r="E1774" s="363"/>
      <c r="F1774" s="363"/>
      <c r="G1774" s="364"/>
      <c r="H1774" s="363"/>
      <c r="I1774" s="363"/>
      <c r="J1774" s="364"/>
      <c r="K1774" s="363"/>
      <c r="L1774" s="363"/>
      <c r="M1774" s="737"/>
      <c r="N1774" s="332"/>
      <c r="O1774" s="332"/>
      <c r="P1774" s="332"/>
      <c r="Q1774" s="332"/>
      <c r="R1774" s="332"/>
      <c r="S1774" s="332"/>
      <c r="T1774" s="332"/>
    </row>
    <row r="1775" spans="1:20" x14ac:dyDescent="0.6">
      <c r="A1775" s="334"/>
      <c r="B1775" s="610"/>
      <c r="C1775" s="365"/>
      <c r="D1775" s="364"/>
      <c r="E1775" s="363"/>
      <c r="F1775" s="363"/>
      <c r="G1775" s="364"/>
      <c r="H1775" s="363"/>
      <c r="I1775" s="363"/>
      <c r="J1775" s="364"/>
      <c r="K1775" s="363"/>
      <c r="L1775" s="363"/>
      <c r="M1775" s="737"/>
      <c r="N1775" s="332"/>
      <c r="O1775" s="332"/>
      <c r="P1775" s="332"/>
      <c r="Q1775" s="332"/>
      <c r="R1775" s="332"/>
      <c r="S1775" s="332"/>
      <c r="T1775" s="332"/>
    </row>
    <row r="1776" spans="1:20" x14ac:dyDescent="0.6">
      <c r="A1776" s="334"/>
      <c r="B1776" s="610"/>
      <c r="C1776" s="365"/>
      <c r="D1776" s="364"/>
      <c r="E1776" s="363"/>
      <c r="F1776" s="363"/>
      <c r="G1776" s="364"/>
      <c r="H1776" s="363"/>
      <c r="I1776" s="363"/>
      <c r="J1776" s="364"/>
      <c r="K1776" s="363"/>
      <c r="L1776" s="363"/>
      <c r="M1776" s="737"/>
      <c r="N1776" s="332"/>
      <c r="O1776" s="332"/>
      <c r="P1776" s="332"/>
      <c r="Q1776" s="332"/>
      <c r="R1776" s="332"/>
      <c r="S1776" s="332"/>
      <c r="T1776" s="332"/>
    </row>
    <row r="1777" spans="1:20" x14ac:dyDescent="0.6">
      <c r="A1777" s="334"/>
      <c r="B1777" s="610"/>
      <c r="C1777" s="365"/>
      <c r="D1777" s="364"/>
      <c r="E1777" s="363"/>
      <c r="F1777" s="363"/>
      <c r="G1777" s="364"/>
      <c r="H1777" s="363"/>
      <c r="I1777" s="363"/>
      <c r="J1777" s="364"/>
      <c r="K1777" s="363"/>
      <c r="L1777" s="363"/>
      <c r="M1777" s="737"/>
      <c r="N1777" s="332"/>
      <c r="O1777" s="332"/>
      <c r="P1777" s="332"/>
      <c r="Q1777" s="332"/>
      <c r="R1777" s="332"/>
      <c r="S1777" s="332"/>
      <c r="T1777" s="332"/>
    </row>
    <row r="1778" spans="1:20" x14ac:dyDescent="0.6">
      <c r="A1778" s="334"/>
      <c r="B1778" s="610"/>
      <c r="C1778" s="365"/>
      <c r="D1778" s="364"/>
      <c r="E1778" s="363"/>
      <c r="F1778" s="363"/>
      <c r="G1778" s="364"/>
      <c r="H1778" s="363"/>
      <c r="I1778" s="363"/>
      <c r="J1778" s="364"/>
      <c r="K1778" s="363"/>
      <c r="L1778" s="363"/>
      <c r="M1778" s="737"/>
      <c r="N1778" s="332"/>
      <c r="O1778" s="332"/>
      <c r="P1778" s="332"/>
      <c r="Q1778" s="332"/>
      <c r="R1778" s="332"/>
      <c r="S1778" s="332"/>
      <c r="T1778" s="332"/>
    </row>
    <row r="1779" spans="1:20" x14ac:dyDescent="0.6">
      <c r="A1779" s="334"/>
      <c r="B1779" s="610"/>
      <c r="C1779" s="365"/>
      <c r="D1779" s="364"/>
      <c r="E1779" s="363"/>
      <c r="F1779" s="363"/>
      <c r="G1779" s="364"/>
      <c r="H1779" s="363"/>
      <c r="I1779" s="363"/>
      <c r="J1779" s="364"/>
      <c r="K1779" s="363"/>
      <c r="L1779" s="363"/>
      <c r="M1779" s="737"/>
      <c r="N1779" s="332"/>
      <c r="O1779" s="332"/>
      <c r="P1779" s="332"/>
      <c r="Q1779" s="332"/>
      <c r="R1779" s="332"/>
      <c r="S1779" s="332"/>
      <c r="T1779" s="332"/>
    </row>
    <row r="1780" spans="1:20" x14ac:dyDescent="0.6">
      <c r="A1780" s="334"/>
      <c r="B1780" s="610"/>
      <c r="C1780" s="365"/>
      <c r="D1780" s="364"/>
      <c r="E1780" s="363"/>
      <c r="F1780" s="363"/>
      <c r="G1780" s="364"/>
      <c r="H1780" s="363"/>
      <c r="I1780" s="363"/>
      <c r="J1780" s="364"/>
      <c r="K1780" s="363"/>
      <c r="L1780" s="363"/>
      <c r="M1780" s="737"/>
      <c r="N1780" s="332"/>
      <c r="O1780" s="332"/>
      <c r="P1780" s="332"/>
      <c r="Q1780" s="332"/>
      <c r="R1780" s="332"/>
      <c r="S1780" s="332"/>
      <c r="T1780" s="332"/>
    </row>
    <row r="1781" spans="1:20" x14ac:dyDescent="0.6">
      <c r="A1781" s="334"/>
      <c r="B1781" s="610"/>
      <c r="C1781" s="365"/>
      <c r="D1781" s="364"/>
      <c r="E1781" s="363"/>
      <c r="F1781" s="363"/>
      <c r="G1781" s="364"/>
      <c r="H1781" s="363"/>
      <c r="I1781" s="363"/>
      <c r="J1781" s="364"/>
      <c r="K1781" s="363"/>
      <c r="L1781" s="363"/>
      <c r="M1781" s="737"/>
      <c r="N1781" s="332"/>
      <c r="O1781" s="332"/>
      <c r="P1781" s="332"/>
      <c r="Q1781" s="332"/>
      <c r="R1781" s="332"/>
      <c r="S1781" s="332"/>
      <c r="T1781" s="332"/>
    </row>
    <row r="1782" spans="1:20" x14ac:dyDescent="0.6">
      <c r="A1782" s="334"/>
      <c r="B1782" s="610"/>
      <c r="C1782" s="365"/>
      <c r="D1782" s="364"/>
      <c r="E1782" s="363"/>
      <c r="F1782" s="363"/>
      <c r="G1782" s="364"/>
      <c r="H1782" s="363"/>
      <c r="I1782" s="363"/>
      <c r="J1782" s="364"/>
      <c r="K1782" s="363"/>
      <c r="L1782" s="363"/>
      <c r="M1782" s="737"/>
      <c r="N1782" s="332"/>
      <c r="O1782" s="332"/>
      <c r="P1782" s="332"/>
      <c r="Q1782" s="332"/>
      <c r="R1782" s="332"/>
      <c r="S1782" s="332"/>
      <c r="T1782" s="332"/>
    </row>
    <row r="1783" spans="1:20" x14ac:dyDescent="0.6">
      <c r="A1783" s="334"/>
      <c r="B1783" s="610"/>
      <c r="C1783" s="365"/>
      <c r="D1783" s="364"/>
      <c r="E1783" s="363"/>
      <c r="F1783" s="363"/>
      <c r="G1783" s="364"/>
      <c r="H1783" s="363"/>
      <c r="I1783" s="363"/>
      <c r="J1783" s="364"/>
      <c r="K1783" s="363"/>
      <c r="L1783" s="363"/>
      <c r="M1783" s="737"/>
      <c r="N1783" s="332"/>
      <c r="O1783" s="332"/>
      <c r="P1783" s="332"/>
      <c r="Q1783" s="332"/>
      <c r="R1783" s="332"/>
      <c r="S1783" s="332"/>
      <c r="T1783" s="332"/>
    </row>
    <row r="1784" spans="1:20" x14ac:dyDescent="0.6">
      <c r="A1784" s="334"/>
      <c r="B1784" s="610"/>
      <c r="C1784" s="365"/>
      <c r="D1784" s="364"/>
      <c r="E1784" s="363"/>
      <c r="F1784" s="363"/>
      <c r="G1784" s="364"/>
      <c r="H1784" s="363"/>
      <c r="I1784" s="363"/>
      <c r="J1784" s="364"/>
      <c r="K1784" s="363"/>
      <c r="L1784" s="363"/>
      <c r="M1784" s="737"/>
      <c r="N1784" s="332"/>
      <c r="O1784" s="332"/>
      <c r="P1784" s="332"/>
      <c r="Q1784" s="332"/>
      <c r="R1784" s="332"/>
      <c r="S1784" s="332"/>
      <c r="T1784" s="332"/>
    </row>
    <row r="1785" spans="1:20" x14ac:dyDescent="0.6">
      <c r="A1785" s="334"/>
      <c r="B1785" s="610"/>
      <c r="C1785" s="365"/>
      <c r="D1785" s="364"/>
      <c r="E1785" s="363"/>
      <c r="F1785" s="363"/>
      <c r="G1785" s="364"/>
      <c r="H1785" s="363"/>
      <c r="I1785" s="363"/>
      <c r="J1785" s="364"/>
      <c r="K1785" s="363"/>
      <c r="L1785" s="363"/>
      <c r="M1785" s="737"/>
      <c r="N1785" s="332"/>
      <c r="O1785" s="332"/>
      <c r="P1785" s="332"/>
      <c r="Q1785" s="332"/>
      <c r="R1785" s="332"/>
      <c r="S1785" s="332"/>
      <c r="T1785" s="332"/>
    </row>
    <row r="1786" spans="1:20" x14ac:dyDescent="0.6">
      <c r="A1786" s="334"/>
      <c r="B1786" s="610"/>
      <c r="C1786" s="365"/>
      <c r="D1786" s="364"/>
      <c r="E1786" s="363"/>
      <c r="F1786" s="363"/>
      <c r="G1786" s="364"/>
      <c r="H1786" s="363"/>
      <c r="I1786" s="363"/>
      <c r="J1786" s="364"/>
      <c r="K1786" s="363"/>
      <c r="L1786" s="363"/>
      <c r="M1786" s="737"/>
      <c r="N1786" s="332"/>
      <c r="O1786" s="332"/>
      <c r="P1786" s="332"/>
      <c r="Q1786" s="332"/>
      <c r="R1786" s="332"/>
      <c r="S1786" s="332"/>
      <c r="T1786" s="332"/>
    </row>
    <row r="1787" spans="1:20" x14ac:dyDescent="0.6">
      <c r="A1787" s="334"/>
      <c r="B1787" s="610"/>
      <c r="C1787" s="365"/>
      <c r="D1787" s="364"/>
      <c r="E1787" s="363"/>
      <c r="F1787" s="363"/>
      <c r="G1787" s="364"/>
      <c r="H1787" s="363"/>
      <c r="I1787" s="363"/>
      <c r="J1787" s="364"/>
      <c r="K1787" s="363"/>
      <c r="L1787" s="363"/>
      <c r="M1787" s="737"/>
      <c r="N1787" s="332"/>
      <c r="O1787" s="332"/>
      <c r="P1787" s="332"/>
      <c r="Q1787" s="332"/>
      <c r="R1787" s="332"/>
      <c r="S1787" s="332"/>
      <c r="T1787" s="332"/>
    </row>
    <row r="1788" spans="1:20" x14ac:dyDescent="0.6">
      <c r="A1788" s="334"/>
      <c r="B1788" s="610"/>
      <c r="C1788" s="365"/>
      <c r="D1788" s="364"/>
      <c r="E1788" s="363"/>
      <c r="F1788" s="363"/>
      <c r="G1788" s="364"/>
      <c r="H1788" s="363"/>
      <c r="I1788" s="363"/>
      <c r="J1788" s="364"/>
      <c r="K1788" s="363"/>
      <c r="L1788" s="363"/>
      <c r="M1788" s="737"/>
      <c r="N1788" s="332"/>
      <c r="O1788" s="332"/>
      <c r="P1788" s="332"/>
      <c r="Q1788" s="332"/>
      <c r="R1788" s="332"/>
      <c r="S1788" s="332"/>
      <c r="T1788" s="332"/>
    </row>
    <row r="1789" spans="1:20" x14ac:dyDescent="0.6">
      <c r="A1789" s="334"/>
      <c r="B1789" s="610"/>
      <c r="C1789" s="365"/>
      <c r="D1789" s="364"/>
      <c r="E1789" s="363"/>
      <c r="F1789" s="363"/>
      <c r="G1789" s="364"/>
      <c r="H1789" s="363"/>
      <c r="I1789" s="363"/>
      <c r="J1789" s="364"/>
      <c r="K1789" s="363"/>
      <c r="L1789" s="363"/>
      <c r="M1789" s="737"/>
      <c r="N1789" s="332"/>
      <c r="O1789" s="332"/>
      <c r="P1789" s="332"/>
      <c r="Q1789" s="332"/>
      <c r="R1789" s="332"/>
      <c r="S1789" s="332"/>
      <c r="T1789" s="332"/>
    </row>
    <row r="1790" spans="1:20" x14ac:dyDescent="0.6">
      <c r="A1790" s="334"/>
      <c r="B1790" s="610"/>
      <c r="C1790" s="365"/>
      <c r="D1790" s="364"/>
      <c r="E1790" s="363"/>
      <c r="F1790" s="363"/>
      <c r="G1790" s="364"/>
      <c r="H1790" s="363"/>
      <c r="I1790" s="363"/>
      <c r="J1790" s="364"/>
      <c r="K1790" s="363"/>
      <c r="L1790" s="363"/>
      <c r="M1790" s="737"/>
      <c r="N1790" s="332"/>
      <c r="O1790" s="332"/>
      <c r="P1790" s="332"/>
      <c r="Q1790" s="332"/>
      <c r="R1790" s="332"/>
      <c r="S1790" s="332"/>
      <c r="T1790" s="332"/>
    </row>
    <row r="1791" spans="1:20" x14ac:dyDescent="0.6">
      <c r="A1791" s="334"/>
      <c r="B1791" s="610"/>
      <c r="C1791" s="365"/>
      <c r="D1791" s="364"/>
      <c r="E1791" s="363"/>
      <c r="F1791" s="363"/>
      <c r="G1791" s="364"/>
      <c r="H1791" s="363"/>
      <c r="I1791" s="363"/>
      <c r="J1791" s="364"/>
      <c r="K1791" s="363"/>
      <c r="L1791" s="363"/>
      <c r="M1791" s="737"/>
      <c r="N1791" s="332"/>
      <c r="O1791" s="332"/>
      <c r="P1791" s="332"/>
      <c r="Q1791" s="332"/>
      <c r="R1791" s="332"/>
      <c r="S1791" s="332"/>
      <c r="T1791" s="332"/>
    </row>
    <row r="1792" spans="1:20" x14ac:dyDescent="0.6">
      <c r="A1792" s="334"/>
      <c r="B1792" s="610"/>
      <c r="C1792" s="365"/>
      <c r="D1792" s="364"/>
      <c r="E1792" s="363"/>
      <c r="F1792" s="363"/>
      <c r="G1792" s="364"/>
      <c r="H1792" s="363"/>
      <c r="I1792" s="363"/>
      <c r="J1792" s="364"/>
      <c r="K1792" s="363"/>
      <c r="L1792" s="363"/>
      <c r="M1792" s="737"/>
      <c r="N1792" s="332"/>
      <c r="O1792" s="332"/>
      <c r="P1792" s="332"/>
      <c r="Q1792" s="332"/>
      <c r="R1792" s="332"/>
      <c r="S1792" s="332"/>
      <c r="T1792" s="332"/>
    </row>
    <row r="1793" spans="1:20" x14ac:dyDescent="0.6">
      <c r="A1793" s="334"/>
      <c r="B1793" s="610"/>
      <c r="C1793" s="365"/>
      <c r="D1793" s="364"/>
      <c r="E1793" s="363"/>
      <c r="F1793" s="363"/>
      <c r="G1793" s="364"/>
      <c r="H1793" s="363"/>
      <c r="I1793" s="363"/>
      <c r="J1793" s="364"/>
      <c r="K1793" s="363"/>
      <c r="L1793" s="363"/>
      <c r="M1793" s="737"/>
      <c r="N1793" s="332"/>
      <c r="O1793" s="332"/>
      <c r="P1793" s="332"/>
      <c r="Q1793" s="332"/>
      <c r="R1793" s="332"/>
      <c r="S1793" s="332"/>
      <c r="T1793" s="332"/>
    </row>
    <row r="1794" spans="1:20" x14ac:dyDescent="0.6">
      <c r="A1794" s="334"/>
      <c r="B1794" s="610"/>
      <c r="C1794" s="365"/>
      <c r="D1794" s="364"/>
      <c r="E1794" s="363"/>
      <c r="F1794" s="363"/>
      <c r="G1794" s="364"/>
      <c r="H1794" s="363"/>
      <c r="I1794" s="363"/>
      <c r="J1794" s="364"/>
      <c r="K1794" s="363"/>
      <c r="L1794" s="363"/>
      <c r="M1794" s="737"/>
      <c r="N1794" s="332"/>
      <c r="O1794" s="332"/>
      <c r="P1794" s="332"/>
      <c r="Q1794" s="332"/>
      <c r="R1794" s="332"/>
      <c r="S1794" s="332"/>
      <c r="T1794" s="332"/>
    </row>
    <row r="1795" spans="1:20" x14ac:dyDescent="0.6">
      <c r="A1795" s="334"/>
      <c r="B1795" s="610"/>
      <c r="C1795" s="365"/>
      <c r="D1795" s="364"/>
      <c r="E1795" s="363"/>
      <c r="F1795" s="363"/>
      <c r="G1795" s="364"/>
      <c r="H1795" s="363"/>
      <c r="I1795" s="363"/>
      <c r="J1795" s="364"/>
      <c r="K1795" s="363"/>
      <c r="L1795" s="363"/>
      <c r="M1795" s="737"/>
      <c r="N1795" s="332"/>
      <c r="O1795" s="332"/>
      <c r="P1795" s="332"/>
      <c r="Q1795" s="332"/>
      <c r="R1795" s="332"/>
      <c r="S1795" s="332"/>
      <c r="T1795" s="332"/>
    </row>
    <row r="1796" spans="1:20" x14ac:dyDescent="0.6">
      <c r="A1796" s="334"/>
      <c r="B1796" s="610"/>
      <c r="C1796" s="365"/>
      <c r="D1796" s="364"/>
      <c r="E1796" s="363"/>
      <c r="F1796" s="363"/>
      <c r="G1796" s="364"/>
      <c r="H1796" s="363"/>
      <c r="I1796" s="363"/>
      <c r="J1796" s="364"/>
      <c r="K1796" s="363"/>
      <c r="L1796" s="363"/>
      <c r="M1796" s="737"/>
      <c r="N1796" s="332"/>
      <c r="O1796" s="332"/>
      <c r="P1796" s="332"/>
      <c r="Q1796" s="332"/>
      <c r="R1796" s="332"/>
      <c r="S1796" s="332"/>
      <c r="T1796" s="332"/>
    </row>
    <row r="1797" spans="1:20" x14ac:dyDescent="0.6">
      <c r="A1797" s="334"/>
      <c r="B1797" s="610"/>
      <c r="C1797" s="365"/>
      <c r="D1797" s="364"/>
      <c r="E1797" s="363"/>
      <c r="F1797" s="363"/>
      <c r="G1797" s="364"/>
      <c r="H1797" s="363"/>
      <c r="I1797" s="363"/>
      <c r="J1797" s="364"/>
      <c r="K1797" s="363"/>
      <c r="L1797" s="363"/>
      <c r="M1797" s="737"/>
      <c r="N1797" s="332"/>
      <c r="O1797" s="332"/>
      <c r="P1797" s="332"/>
      <c r="Q1797" s="332"/>
      <c r="R1797" s="332"/>
      <c r="S1797" s="332"/>
      <c r="T1797" s="332"/>
    </row>
    <row r="1798" spans="1:20" x14ac:dyDescent="0.6">
      <c r="A1798" s="334"/>
      <c r="B1798" s="610"/>
      <c r="C1798" s="365"/>
      <c r="D1798" s="364"/>
      <c r="E1798" s="363"/>
      <c r="F1798" s="363"/>
      <c r="G1798" s="364"/>
      <c r="H1798" s="363"/>
      <c r="I1798" s="363"/>
      <c r="J1798" s="364"/>
      <c r="K1798" s="363"/>
      <c r="L1798" s="363"/>
      <c r="M1798" s="737"/>
      <c r="N1798" s="332"/>
      <c r="O1798" s="332"/>
      <c r="P1798" s="332"/>
      <c r="Q1798" s="332"/>
      <c r="R1798" s="332"/>
      <c r="S1798" s="332"/>
      <c r="T1798" s="332"/>
    </row>
    <row r="1799" spans="1:20" x14ac:dyDescent="0.6">
      <c r="A1799" s="334"/>
      <c r="B1799" s="610"/>
      <c r="C1799" s="365"/>
      <c r="D1799" s="364"/>
      <c r="E1799" s="363"/>
      <c r="F1799" s="363"/>
      <c r="G1799" s="364"/>
      <c r="H1799" s="363"/>
      <c r="I1799" s="363"/>
      <c r="J1799" s="364"/>
      <c r="K1799" s="363"/>
      <c r="L1799" s="363"/>
      <c r="M1799" s="737"/>
      <c r="N1799" s="332"/>
      <c r="O1799" s="332"/>
      <c r="P1799" s="332"/>
      <c r="Q1799" s="332"/>
      <c r="R1799" s="332"/>
      <c r="S1799" s="332"/>
      <c r="T1799" s="332"/>
    </row>
    <row r="1800" spans="1:20" x14ac:dyDescent="0.6">
      <c r="A1800" s="334"/>
      <c r="B1800" s="610"/>
      <c r="C1800" s="365"/>
      <c r="D1800" s="364"/>
      <c r="E1800" s="363"/>
      <c r="F1800" s="363"/>
      <c r="G1800" s="364"/>
      <c r="H1800" s="363"/>
      <c r="I1800" s="363"/>
      <c r="J1800" s="364"/>
      <c r="K1800" s="363"/>
      <c r="L1800" s="363"/>
      <c r="M1800" s="737"/>
      <c r="N1800" s="332"/>
      <c r="O1800" s="332"/>
      <c r="P1800" s="332"/>
      <c r="Q1800" s="332"/>
      <c r="R1800" s="332"/>
      <c r="S1800" s="332"/>
      <c r="T1800" s="332"/>
    </row>
    <row r="1801" spans="1:20" x14ac:dyDescent="0.6">
      <c r="A1801" s="334"/>
      <c r="B1801" s="610"/>
      <c r="C1801" s="365"/>
      <c r="D1801" s="364"/>
      <c r="E1801" s="363"/>
      <c r="F1801" s="363"/>
      <c r="G1801" s="364"/>
      <c r="H1801" s="363"/>
      <c r="I1801" s="363"/>
      <c r="J1801" s="364"/>
      <c r="K1801" s="363"/>
      <c r="L1801" s="363"/>
      <c r="M1801" s="737"/>
      <c r="N1801" s="332"/>
      <c r="O1801" s="332"/>
      <c r="P1801" s="332"/>
      <c r="Q1801" s="332"/>
      <c r="R1801" s="332"/>
      <c r="S1801" s="332"/>
      <c r="T1801" s="332"/>
    </row>
    <row r="1802" spans="1:20" x14ac:dyDescent="0.6">
      <c r="A1802" s="334"/>
      <c r="B1802" s="610"/>
      <c r="C1802" s="365"/>
      <c r="D1802" s="364"/>
      <c r="E1802" s="363"/>
      <c r="F1802" s="363"/>
      <c r="G1802" s="364"/>
      <c r="H1802" s="363"/>
      <c r="I1802" s="363"/>
      <c r="J1802" s="364"/>
      <c r="K1802" s="363"/>
      <c r="L1802" s="363"/>
      <c r="M1802" s="737"/>
      <c r="N1802" s="332"/>
      <c r="O1802" s="332"/>
      <c r="P1802" s="332"/>
      <c r="Q1802" s="332"/>
      <c r="R1802" s="332"/>
      <c r="S1802" s="332"/>
      <c r="T1802" s="332"/>
    </row>
    <row r="1803" spans="1:20" x14ac:dyDescent="0.6">
      <c r="A1803" s="334"/>
      <c r="B1803" s="610"/>
      <c r="C1803" s="365"/>
      <c r="D1803" s="364"/>
      <c r="E1803" s="363"/>
      <c r="F1803" s="363"/>
      <c r="G1803" s="364"/>
      <c r="H1803" s="363"/>
      <c r="I1803" s="363"/>
      <c r="J1803" s="364"/>
      <c r="K1803" s="363"/>
      <c r="L1803" s="363"/>
      <c r="M1803" s="737"/>
      <c r="N1803" s="332"/>
      <c r="O1803" s="332"/>
      <c r="P1803" s="332"/>
      <c r="Q1803" s="332"/>
      <c r="R1803" s="332"/>
      <c r="S1803" s="332"/>
      <c r="T1803" s="332"/>
    </row>
    <row r="1804" spans="1:20" x14ac:dyDescent="0.6">
      <c r="A1804" s="334"/>
      <c r="B1804" s="610"/>
      <c r="C1804" s="365"/>
      <c r="D1804" s="364"/>
      <c r="E1804" s="363"/>
      <c r="F1804" s="363"/>
      <c r="G1804" s="364"/>
      <c r="H1804" s="363"/>
      <c r="I1804" s="363"/>
      <c r="J1804" s="364"/>
      <c r="K1804" s="363"/>
      <c r="L1804" s="363"/>
      <c r="M1804" s="737"/>
      <c r="N1804" s="332"/>
      <c r="O1804" s="332"/>
      <c r="P1804" s="332"/>
      <c r="Q1804" s="332"/>
      <c r="R1804" s="332"/>
      <c r="S1804" s="332"/>
      <c r="T1804" s="332"/>
    </row>
    <row r="1805" spans="1:20" x14ac:dyDescent="0.6">
      <c r="A1805" s="334"/>
      <c r="B1805" s="610"/>
      <c r="C1805" s="365"/>
      <c r="D1805" s="364"/>
      <c r="E1805" s="363"/>
      <c r="F1805" s="363"/>
      <c r="G1805" s="364"/>
      <c r="H1805" s="363"/>
      <c r="I1805" s="363"/>
      <c r="J1805" s="364"/>
      <c r="K1805" s="363"/>
      <c r="L1805" s="363"/>
      <c r="M1805" s="737"/>
      <c r="N1805" s="332"/>
      <c r="O1805" s="332"/>
      <c r="P1805" s="332"/>
      <c r="Q1805" s="332"/>
      <c r="R1805" s="332"/>
      <c r="S1805" s="332"/>
      <c r="T1805" s="332"/>
    </row>
    <row r="1806" spans="1:20" x14ac:dyDescent="0.6">
      <c r="A1806" s="334"/>
      <c r="B1806" s="610"/>
      <c r="C1806" s="365"/>
      <c r="D1806" s="364"/>
      <c r="E1806" s="363"/>
      <c r="F1806" s="363"/>
      <c r="G1806" s="364"/>
      <c r="H1806" s="363"/>
      <c r="I1806" s="363"/>
      <c r="J1806" s="364"/>
      <c r="K1806" s="363"/>
      <c r="L1806" s="363"/>
      <c r="M1806" s="737"/>
      <c r="N1806" s="332"/>
      <c r="O1806" s="332"/>
      <c r="P1806" s="332"/>
      <c r="Q1806" s="332"/>
      <c r="R1806" s="332"/>
      <c r="S1806" s="332"/>
      <c r="T1806" s="332"/>
    </row>
    <row r="1807" spans="1:20" x14ac:dyDescent="0.6">
      <c r="A1807" s="334"/>
      <c r="B1807" s="610"/>
      <c r="C1807" s="365"/>
      <c r="D1807" s="364"/>
      <c r="E1807" s="363"/>
      <c r="F1807" s="363"/>
      <c r="G1807" s="364"/>
      <c r="H1807" s="363"/>
      <c r="I1807" s="363"/>
      <c r="J1807" s="364"/>
      <c r="K1807" s="363"/>
      <c r="L1807" s="363"/>
      <c r="M1807" s="737"/>
      <c r="N1807" s="332"/>
      <c r="O1807" s="332"/>
      <c r="P1807" s="332"/>
      <c r="Q1807" s="332"/>
      <c r="R1807" s="332"/>
      <c r="S1807" s="332"/>
      <c r="T1807" s="332"/>
    </row>
    <row r="1808" spans="1:20" x14ac:dyDescent="0.6">
      <c r="A1808" s="334"/>
      <c r="B1808" s="610"/>
      <c r="C1808" s="365"/>
      <c r="D1808" s="364"/>
      <c r="E1808" s="363"/>
      <c r="F1808" s="363"/>
      <c r="G1808" s="364"/>
      <c r="H1808" s="363"/>
      <c r="I1808" s="363"/>
      <c r="J1808" s="364"/>
      <c r="K1808" s="363"/>
      <c r="L1808" s="363"/>
      <c r="M1808" s="737"/>
      <c r="N1808" s="332"/>
      <c r="O1808" s="332"/>
      <c r="P1808" s="332"/>
      <c r="Q1808" s="332"/>
      <c r="R1808" s="332"/>
      <c r="S1808" s="332"/>
      <c r="T1808" s="332"/>
    </row>
    <row r="1809" spans="1:20" x14ac:dyDescent="0.6">
      <c r="A1809" s="334"/>
      <c r="B1809" s="610"/>
      <c r="C1809" s="365"/>
      <c r="D1809" s="364"/>
      <c r="E1809" s="363"/>
      <c r="F1809" s="363"/>
      <c r="G1809" s="364"/>
      <c r="H1809" s="363"/>
      <c r="I1809" s="363"/>
      <c r="J1809" s="364"/>
      <c r="K1809" s="363"/>
      <c r="L1809" s="363"/>
      <c r="M1809" s="737"/>
      <c r="N1809" s="332"/>
      <c r="O1809" s="332"/>
      <c r="P1809" s="332"/>
      <c r="Q1809" s="332"/>
      <c r="R1809" s="332"/>
      <c r="S1809" s="332"/>
      <c r="T1809" s="332"/>
    </row>
    <row r="1810" spans="1:20" x14ac:dyDescent="0.6">
      <c r="A1810" s="334"/>
      <c r="B1810" s="610"/>
      <c r="C1810" s="365"/>
      <c r="D1810" s="364"/>
      <c r="E1810" s="363"/>
      <c r="F1810" s="363"/>
      <c r="G1810" s="364"/>
      <c r="H1810" s="363"/>
      <c r="I1810" s="363"/>
      <c r="J1810" s="364"/>
      <c r="K1810" s="363"/>
      <c r="L1810" s="363"/>
      <c r="M1810" s="737"/>
      <c r="N1810" s="332"/>
      <c r="O1810" s="332"/>
      <c r="P1810" s="332"/>
      <c r="Q1810" s="332"/>
      <c r="R1810" s="332"/>
      <c r="S1810" s="332"/>
      <c r="T1810" s="332"/>
    </row>
    <row r="1811" spans="1:20" x14ac:dyDescent="0.6">
      <c r="A1811" s="334"/>
      <c r="B1811" s="610"/>
      <c r="C1811" s="365"/>
      <c r="D1811" s="364"/>
      <c r="E1811" s="363"/>
      <c r="F1811" s="363"/>
      <c r="G1811" s="364"/>
      <c r="H1811" s="363"/>
      <c r="I1811" s="363"/>
      <c r="J1811" s="364"/>
      <c r="K1811" s="363"/>
      <c r="L1811" s="363"/>
      <c r="M1811" s="737"/>
      <c r="N1811" s="332"/>
      <c r="O1811" s="332"/>
      <c r="P1811" s="332"/>
      <c r="Q1811" s="332"/>
      <c r="R1811" s="332"/>
      <c r="S1811" s="332"/>
      <c r="T1811" s="332"/>
    </row>
    <row r="1812" spans="1:20" x14ac:dyDescent="0.6">
      <c r="A1812" s="334"/>
      <c r="B1812" s="610"/>
      <c r="C1812" s="365"/>
      <c r="D1812" s="364"/>
      <c r="E1812" s="363"/>
      <c r="F1812" s="363"/>
      <c r="G1812" s="364"/>
      <c r="H1812" s="363"/>
      <c r="I1812" s="363"/>
      <c r="J1812" s="364"/>
      <c r="K1812" s="363"/>
      <c r="L1812" s="363"/>
      <c r="M1812" s="737"/>
      <c r="N1812" s="332"/>
      <c r="O1812" s="332"/>
      <c r="P1812" s="332"/>
      <c r="Q1812" s="332"/>
      <c r="R1812" s="332"/>
      <c r="S1812" s="332"/>
      <c r="T1812" s="332"/>
    </row>
    <row r="1813" spans="1:20" x14ac:dyDescent="0.6">
      <c r="A1813" s="334"/>
      <c r="B1813" s="610"/>
      <c r="C1813" s="365"/>
      <c r="D1813" s="364"/>
      <c r="E1813" s="363"/>
      <c r="F1813" s="363"/>
      <c r="G1813" s="364"/>
      <c r="H1813" s="363"/>
      <c r="I1813" s="363"/>
      <c r="J1813" s="364"/>
      <c r="K1813" s="363"/>
      <c r="L1813" s="363"/>
      <c r="M1813" s="737"/>
      <c r="N1813" s="332"/>
      <c r="O1813" s="332"/>
      <c r="P1813" s="332"/>
      <c r="Q1813" s="332"/>
      <c r="R1813" s="332"/>
      <c r="S1813" s="332"/>
      <c r="T1813" s="332"/>
    </row>
    <row r="1814" spans="1:20" x14ac:dyDescent="0.6">
      <c r="A1814" s="334"/>
      <c r="B1814" s="610"/>
      <c r="C1814" s="365"/>
      <c r="D1814" s="364"/>
      <c r="E1814" s="363"/>
      <c r="F1814" s="363"/>
      <c r="G1814" s="364"/>
      <c r="H1814" s="363"/>
      <c r="I1814" s="363"/>
      <c r="J1814" s="364"/>
      <c r="K1814" s="363"/>
      <c r="L1814" s="363"/>
      <c r="M1814" s="737"/>
      <c r="N1814" s="332"/>
      <c r="O1814" s="332"/>
      <c r="P1814" s="332"/>
      <c r="Q1814" s="332"/>
      <c r="R1814" s="332"/>
      <c r="S1814" s="332"/>
      <c r="T1814" s="332"/>
    </row>
    <row r="1815" spans="1:20" x14ac:dyDescent="0.6">
      <c r="A1815" s="334"/>
      <c r="B1815" s="610"/>
      <c r="C1815" s="365"/>
      <c r="D1815" s="364"/>
      <c r="E1815" s="363"/>
      <c r="F1815" s="363"/>
      <c r="G1815" s="364"/>
      <c r="H1815" s="363"/>
      <c r="I1815" s="363"/>
      <c r="J1815" s="364"/>
      <c r="K1815" s="363"/>
      <c r="L1815" s="363"/>
      <c r="M1815" s="737"/>
      <c r="N1815" s="332"/>
      <c r="O1815" s="332"/>
      <c r="P1815" s="332"/>
      <c r="Q1815" s="332"/>
      <c r="R1815" s="332"/>
      <c r="S1815" s="332"/>
      <c r="T1815" s="332"/>
    </row>
    <row r="1816" spans="1:20" x14ac:dyDescent="0.6">
      <c r="A1816" s="334"/>
      <c r="B1816" s="610"/>
      <c r="C1816" s="365"/>
      <c r="D1816" s="364"/>
      <c r="E1816" s="363"/>
      <c r="F1816" s="363"/>
      <c r="G1816" s="364"/>
      <c r="H1816" s="363"/>
      <c r="I1816" s="363"/>
      <c r="J1816" s="364"/>
      <c r="K1816" s="363"/>
      <c r="L1816" s="363"/>
      <c r="M1816" s="737"/>
      <c r="N1816" s="332"/>
      <c r="O1816" s="332"/>
      <c r="P1816" s="332"/>
      <c r="Q1816" s="332"/>
      <c r="R1816" s="332"/>
      <c r="S1816" s="332"/>
      <c r="T1816" s="332"/>
    </row>
    <row r="1817" spans="1:20" x14ac:dyDescent="0.6">
      <c r="A1817" s="334"/>
      <c r="B1817" s="610"/>
      <c r="C1817" s="365"/>
      <c r="D1817" s="364"/>
      <c r="E1817" s="363"/>
      <c r="F1817" s="363"/>
      <c r="G1817" s="364"/>
      <c r="H1817" s="363"/>
      <c r="I1817" s="363"/>
      <c r="J1817" s="364"/>
      <c r="K1817" s="363"/>
      <c r="L1817" s="363"/>
      <c r="M1817" s="737"/>
      <c r="N1817" s="332"/>
      <c r="O1817" s="332"/>
      <c r="P1817" s="332"/>
      <c r="Q1817" s="332"/>
      <c r="R1817" s="332"/>
      <c r="S1817" s="332"/>
      <c r="T1817" s="332"/>
    </row>
    <row r="1818" spans="1:20" x14ac:dyDescent="0.6">
      <c r="A1818" s="334"/>
      <c r="B1818" s="610"/>
      <c r="C1818" s="365"/>
      <c r="D1818" s="364"/>
      <c r="E1818" s="363"/>
      <c r="F1818" s="363"/>
      <c r="G1818" s="364"/>
      <c r="H1818" s="363"/>
      <c r="I1818" s="363"/>
      <c r="J1818" s="364"/>
      <c r="K1818" s="363"/>
      <c r="L1818" s="363"/>
      <c r="M1818" s="737"/>
      <c r="N1818" s="332"/>
      <c r="O1818" s="332"/>
      <c r="P1818" s="332"/>
      <c r="Q1818" s="332"/>
      <c r="R1818" s="332"/>
      <c r="S1818" s="332"/>
      <c r="T1818" s="332"/>
    </row>
    <row r="1819" spans="1:20" x14ac:dyDescent="0.6">
      <c r="A1819" s="334"/>
      <c r="B1819" s="610"/>
      <c r="C1819" s="365"/>
      <c r="D1819" s="364"/>
      <c r="E1819" s="363"/>
      <c r="F1819" s="363"/>
      <c r="G1819" s="364"/>
      <c r="H1819" s="363"/>
      <c r="I1819" s="363"/>
      <c r="J1819" s="364"/>
      <c r="K1819" s="363"/>
      <c r="L1819" s="363"/>
      <c r="M1819" s="737"/>
      <c r="N1819" s="332"/>
      <c r="O1819" s="332"/>
      <c r="P1819" s="332"/>
      <c r="Q1819" s="332"/>
      <c r="R1819" s="332"/>
      <c r="S1819" s="332"/>
      <c r="T1819" s="332"/>
    </row>
    <row r="1820" spans="1:20" x14ac:dyDescent="0.6">
      <c r="A1820" s="334"/>
      <c r="B1820" s="610"/>
      <c r="C1820" s="365"/>
      <c r="D1820" s="364"/>
      <c r="E1820" s="363"/>
      <c r="F1820" s="363"/>
      <c r="G1820" s="364"/>
      <c r="H1820" s="363"/>
      <c r="I1820" s="363"/>
      <c r="J1820" s="364"/>
      <c r="K1820" s="363"/>
      <c r="L1820" s="363"/>
      <c r="M1820" s="737"/>
      <c r="N1820" s="332"/>
      <c r="O1820" s="332"/>
      <c r="P1820" s="332"/>
      <c r="Q1820" s="332"/>
      <c r="R1820" s="332"/>
      <c r="S1820" s="332"/>
      <c r="T1820" s="332"/>
    </row>
    <row r="1821" spans="1:20" x14ac:dyDescent="0.6">
      <c r="A1821" s="334"/>
      <c r="B1821" s="610"/>
      <c r="C1821" s="365"/>
      <c r="D1821" s="364"/>
      <c r="E1821" s="363"/>
      <c r="F1821" s="363"/>
      <c r="G1821" s="364"/>
      <c r="H1821" s="363"/>
      <c r="I1821" s="363"/>
      <c r="J1821" s="364"/>
      <c r="K1821" s="363"/>
      <c r="L1821" s="363"/>
      <c r="M1821" s="737"/>
      <c r="N1821" s="332"/>
      <c r="O1821" s="332"/>
      <c r="P1821" s="332"/>
      <c r="Q1821" s="332"/>
      <c r="R1821" s="332"/>
      <c r="S1821" s="332"/>
      <c r="T1821" s="332"/>
    </row>
    <row r="1822" spans="1:20" x14ac:dyDescent="0.6">
      <c r="A1822" s="334"/>
      <c r="B1822" s="610"/>
      <c r="C1822" s="365"/>
      <c r="D1822" s="364"/>
      <c r="E1822" s="363"/>
      <c r="F1822" s="363"/>
      <c r="G1822" s="364"/>
      <c r="H1822" s="363"/>
      <c r="I1822" s="363"/>
      <c r="J1822" s="364"/>
      <c r="K1822" s="363"/>
      <c r="L1822" s="363"/>
      <c r="M1822" s="737"/>
      <c r="N1822" s="332"/>
      <c r="O1822" s="332"/>
      <c r="P1822" s="332"/>
      <c r="Q1822" s="332"/>
      <c r="R1822" s="332"/>
      <c r="S1822" s="332"/>
      <c r="T1822" s="332"/>
    </row>
    <row r="1823" spans="1:20" x14ac:dyDescent="0.6">
      <c r="A1823" s="334"/>
      <c r="B1823" s="610"/>
      <c r="C1823" s="365"/>
      <c r="D1823" s="364"/>
      <c r="E1823" s="363"/>
      <c r="F1823" s="363"/>
      <c r="G1823" s="364"/>
      <c r="H1823" s="363"/>
      <c r="I1823" s="363"/>
      <c r="J1823" s="364"/>
      <c r="K1823" s="363"/>
      <c r="L1823" s="363"/>
      <c r="M1823" s="737"/>
      <c r="N1823" s="332"/>
      <c r="O1823" s="332"/>
      <c r="P1823" s="332"/>
      <c r="Q1823" s="332"/>
      <c r="R1823" s="332"/>
      <c r="S1823" s="332"/>
      <c r="T1823" s="332"/>
    </row>
    <row r="1824" spans="1:20" x14ac:dyDescent="0.6">
      <c r="A1824" s="334"/>
      <c r="B1824" s="610"/>
      <c r="C1824" s="365"/>
      <c r="D1824" s="364"/>
      <c r="E1824" s="363"/>
      <c r="F1824" s="363"/>
      <c r="G1824" s="364"/>
      <c r="H1824" s="363"/>
      <c r="I1824" s="363"/>
      <c r="J1824" s="364"/>
      <c r="K1824" s="363"/>
      <c r="L1824" s="363"/>
      <c r="M1824" s="737"/>
      <c r="N1824" s="332"/>
      <c r="O1824" s="332"/>
      <c r="P1824" s="332"/>
      <c r="Q1824" s="332"/>
      <c r="R1824" s="332"/>
      <c r="S1824" s="332"/>
      <c r="T1824" s="332"/>
    </row>
    <row r="1825" spans="1:20" x14ac:dyDescent="0.6">
      <c r="A1825" s="334"/>
      <c r="B1825" s="610"/>
      <c r="C1825" s="365"/>
      <c r="D1825" s="364"/>
      <c r="E1825" s="363"/>
      <c r="F1825" s="363"/>
      <c r="G1825" s="364"/>
      <c r="H1825" s="363"/>
      <c r="I1825" s="363"/>
      <c r="J1825" s="364"/>
      <c r="K1825" s="363"/>
      <c r="L1825" s="363"/>
      <c r="M1825" s="737"/>
      <c r="N1825" s="332"/>
      <c r="O1825" s="332"/>
      <c r="P1825" s="332"/>
      <c r="Q1825" s="332"/>
      <c r="R1825" s="332"/>
      <c r="S1825" s="332"/>
      <c r="T1825" s="332"/>
    </row>
    <row r="1826" spans="1:20" x14ac:dyDescent="0.6">
      <c r="A1826" s="334"/>
      <c r="B1826" s="610"/>
      <c r="C1826" s="365"/>
      <c r="D1826" s="364"/>
      <c r="E1826" s="363"/>
      <c r="F1826" s="363"/>
      <c r="G1826" s="364"/>
      <c r="H1826" s="363"/>
      <c r="I1826" s="363"/>
      <c r="J1826" s="364"/>
      <c r="K1826" s="363"/>
      <c r="L1826" s="363"/>
      <c r="M1826" s="737"/>
      <c r="N1826" s="332"/>
      <c r="O1826" s="332"/>
      <c r="P1826" s="332"/>
      <c r="Q1826" s="332"/>
      <c r="R1826" s="332"/>
      <c r="S1826" s="332"/>
      <c r="T1826" s="332"/>
    </row>
    <row r="1827" spans="1:20" x14ac:dyDescent="0.6">
      <c r="A1827" s="334"/>
      <c r="B1827" s="610"/>
      <c r="C1827" s="365"/>
      <c r="D1827" s="364"/>
      <c r="E1827" s="363"/>
      <c r="F1827" s="363"/>
      <c r="G1827" s="364"/>
      <c r="H1827" s="363"/>
      <c r="I1827" s="363"/>
      <c r="J1827" s="364"/>
      <c r="K1827" s="363"/>
      <c r="L1827" s="363"/>
      <c r="M1827" s="737"/>
      <c r="N1827" s="332"/>
      <c r="O1827" s="332"/>
      <c r="P1827" s="332"/>
      <c r="Q1827" s="332"/>
      <c r="R1827" s="332"/>
      <c r="S1827" s="332"/>
      <c r="T1827" s="332"/>
    </row>
    <row r="1828" spans="1:20" x14ac:dyDescent="0.6">
      <c r="A1828" s="334"/>
      <c r="B1828" s="610"/>
      <c r="C1828" s="365"/>
      <c r="D1828" s="364"/>
      <c r="E1828" s="363"/>
      <c r="F1828" s="363"/>
      <c r="G1828" s="364"/>
      <c r="H1828" s="363"/>
      <c r="I1828" s="363"/>
      <c r="J1828" s="364"/>
      <c r="K1828" s="363"/>
      <c r="L1828" s="363"/>
      <c r="M1828" s="737"/>
      <c r="N1828" s="332"/>
      <c r="O1828" s="332"/>
      <c r="P1828" s="332"/>
      <c r="Q1828" s="332"/>
      <c r="R1828" s="332"/>
      <c r="S1828" s="332"/>
      <c r="T1828" s="332"/>
    </row>
    <row r="1829" spans="1:20" x14ac:dyDescent="0.6">
      <c r="A1829" s="334"/>
      <c r="B1829" s="610"/>
      <c r="C1829" s="365"/>
      <c r="D1829" s="364"/>
      <c r="E1829" s="363"/>
      <c r="F1829" s="363"/>
      <c r="G1829" s="364"/>
      <c r="H1829" s="363"/>
      <c r="I1829" s="363"/>
      <c r="J1829" s="364"/>
      <c r="K1829" s="363"/>
      <c r="L1829" s="363"/>
      <c r="M1829" s="737"/>
      <c r="N1829" s="332"/>
      <c r="O1829" s="332"/>
      <c r="P1829" s="332"/>
      <c r="Q1829" s="332"/>
      <c r="R1829" s="332"/>
      <c r="S1829" s="332"/>
      <c r="T1829" s="332"/>
    </row>
    <row r="1830" spans="1:20" x14ac:dyDescent="0.6">
      <c r="A1830" s="334"/>
      <c r="B1830" s="610"/>
      <c r="C1830" s="365"/>
      <c r="D1830" s="364"/>
      <c r="E1830" s="363"/>
      <c r="F1830" s="363"/>
      <c r="G1830" s="364"/>
      <c r="H1830" s="363"/>
      <c r="I1830" s="363"/>
      <c r="J1830" s="364"/>
      <c r="K1830" s="363"/>
      <c r="L1830" s="363"/>
      <c r="M1830" s="737"/>
      <c r="N1830" s="332"/>
      <c r="O1830" s="332"/>
      <c r="P1830" s="332"/>
      <c r="Q1830" s="332"/>
      <c r="R1830" s="332"/>
      <c r="S1830" s="332"/>
      <c r="T1830" s="332"/>
    </row>
    <row r="1831" spans="1:20" x14ac:dyDescent="0.6">
      <c r="A1831" s="334"/>
      <c r="B1831" s="610"/>
      <c r="C1831" s="365"/>
      <c r="D1831" s="364"/>
      <c r="E1831" s="363"/>
      <c r="F1831" s="363"/>
      <c r="G1831" s="364"/>
      <c r="H1831" s="363"/>
      <c r="I1831" s="363"/>
      <c r="J1831" s="364"/>
      <c r="K1831" s="363"/>
      <c r="L1831" s="363"/>
      <c r="M1831" s="737"/>
      <c r="N1831" s="332"/>
      <c r="O1831" s="332"/>
      <c r="P1831" s="332"/>
      <c r="Q1831" s="332"/>
      <c r="R1831" s="332"/>
      <c r="S1831" s="332"/>
      <c r="T1831" s="332"/>
    </row>
    <row r="1832" spans="1:20" x14ac:dyDescent="0.6">
      <c r="A1832" s="334"/>
      <c r="B1832" s="610"/>
      <c r="C1832" s="365"/>
      <c r="D1832" s="364"/>
      <c r="E1832" s="363"/>
      <c r="F1832" s="363"/>
      <c r="G1832" s="364"/>
      <c r="H1832" s="363"/>
      <c r="I1832" s="363"/>
      <c r="J1832" s="364"/>
      <c r="K1832" s="363"/>
      <c r="L1832" s="363"/>
      <c r="M1832" s="737"/>
      <c r="N1832" s="332"/>
      <c r="O1832" s="332"/>
      <c r="P1832" s="332"/>
      <c r="Q1832" s="332"/>
      <c r="R1832" s="332"/>
      <c r="S1832" s="332"/>
      <c r="T1832" s="332"/>
    </row>
    <row r="1833" spans="1:20" x14ac:dyDescent="0.6">
      <c r="A1833" s="334"/>
      <c r="B1833" s="610"/>
      <c r="C1833" s="365"/>
      <c r="D1833" s="364"/>
      <c r="E1833" s="363"/>
      <c r="F1833" s="363"/>
      <c r="G1833" s="364"/>
      <c r="H1833" s="363"/>
      <c r="I1833" s="363"/>
      <c r="J1833" s="364"/>
      <c r="K1833" s="363"/>
      <c r="L1833" s="363"/>
      <c r="M1833" s="737"/>
      <c r="N1833" s="332"/>
      <c r="O1833" s="332"/>
      <c r="P1833" s="332"/>
      <c r="Q1833" s="332"/>
      <c r="R1833" s="332"/>
      <c r="S1833" s="332"/>
      <c r="T1833" s="332"/>
    </row>
    <row r="1834" spans="1:20" x14ac:dyDescent="0.6">
      <c r="A1834" s="334"/>
      <c r="B1834" s="610"/>
      <c r="C1834" s="365"/>
      <c r="D1834" s="364"/>
      <c r="E1834" s="363"/>
      <c r="F1834" s="363"/>
      <c r="G1834" s="364"/>
      <c r="H1834" s="363"/>
      <c r="I1834" s="363"/>
      <c r="J1834" s="364"/>
      <c r="K1834" s="363"/>
      <c r="L1834" s="363"/>
      <c r="M1834" s="737"/>
      <c r="N1834" s="332"/>
      <c r="O1834" s="332"/>
      <c r="P1834" s="332"/>
      <c r="Q1834" s="332"/>
      <c r="R1834" s="332"/>
      <c r="S1834" s="332"/>
      <c r="T1834" s="332"/>
    </row>
    <row r="1835" spans="1:20" x14ac:dyDescent="0.6">
      <c r="A1835" s="334"/>
      <c r="B1835" s="610"/>
      <c r="C1835" s="365"/>
      <c r="D1835" s="364"/>
      <c r="E1835" s="363"/>
      <c r="F1835" s="363"/>
      <c r="G1835" s="364"/>
      <c r="H1835" s="363"/>
      <c r="I1835" s="363"/>
      <c r="J1835" s="364"/>
      <c r="K1835" s="363"/>
      <c r="L1835" s="363"/>
      <c r="M1835" s="737"/>
      <c r="N1835" s="332"/>
      <c r="O1835" s="332"/>
      <c r="P1835" s="332"/>
      <c r="Q1835" s="332"/>
      <c r="R1835" s="332"/>
      <c r="S1835" s="332"/>
      <c r="T1835" s="332"/>
    </row>
    <row r="1836" spans="1:20" x14ac:dyDescent="0.6">
      <c r="A1836" s="334"/>
      <c r="B1836" s="610"/>
      <c r="C1836" s="365"/>
      <c r="D1836" s="364"/>
      <c r="E1836" s="363"/>
      <c r="F1836" s="363"/>
      <c r="G1836" s="364"/>
      <c r="H1836" s="363"/>
      <c r="I1836" s="363"/>
      <c r="J1836" s="364"/>
      <c r="K1836" s="363"/>
      <c r="L1836" s="363"/>
      <c r="M1836" s="737"/>
      <c r="N1836" s="332"/>
      <c r="O1836" s="332"/>
      <c r="P1836" s="332"/>
      <c r="Q1836" s="332"/>
      <c r="R1836" s="332"/>
      <c r="S1836" s="332"/>
      <c r="T1836" s="332"/>
    </row>
    <row r="1837" spans="1:20" x14ac:dyDescent="0.6">
      <c r="A1837" s="334"/>
      <c r="B1837" s="610"/>
      <c r="C1837" s="365"/>
      <c r="D1837" s="364"/>
      <c r="E1837" s="363"/>
      <c r="F1837" s="363"/>
      <c r="G1837" s="364"/>
      <c r="H1837" s="363"/>
      <c r="I1837" s="363"/>
      <c r="J1837" s="364"/>
      <c r="K1837" s="363"/>
      <c r="L1837" s="363"/>
      <c r="M1837" s="737"/>
      <c r="N1837" s="332"/>
      <c r="O1837" s="332"/>
      <c r="P1837" s="332"/>
      <c r="Q1837" s="332"/>
      <c r="R1837" s="332"/>
      <c r="S1837" s="332"/>
      <c r="T1837" s="332"/>
    </row>
    <row r="1838" spans="1:20" x14ac:dyDescent="0.6">
      <c r="A1838" s="334"/>
      <c r="B1838" s="610"/>
      <c r="C1838" s="365"/>
      <c r="D1838" s="364"/>
      <c r="E1838" s="363"/>
      <c r="F1838" s="363"/>
      <c r="G1838" s="364"/>
      <c r="H1838" s="363"/>
      <c r="I1838" s="363"/>
      <c r="J1838" s="364"/>
      <c r="K1838" s="363"/>
      <c r="L1838" s="363"/>
      <c r="M1838" s="737"/>
      <c r="N1838" s="332"/>
      <c r="O1838" s="332"/>
      <c r="P1838" s="332"/>
      <c r="Q1838" s="332"/>
      <c r="R1838" s="332"/>
      <c r="S1838" s="332"/>
      <c r="T1838" s="332"/>
    </row>
    <row r="1839" spans="1:20" x14ac:dyDescent="0.6">
      <c r="A1839" s="334"/>
      <c r="B1839" s="610"/>
      <c r="C1839" s="365"/>
      <c r="D1839" s="364"/>
      <c r="E1839" s="363"/>
      <c r="F1839" s="363"/>
      <c r="G1839" s="364"/>
      <c r="H1839" s="363"/>
      <c r="I1839" s="363"/>
      <c r="J1839" s="364"/>
      <c r="K1839" s="363"/>
      <c r="L1839" s="363"/>
      <c r="M1839" s="737"/>
      <c r="N1839" s="332"/>
      <c r="O1839" s="332"/>
      <c r="P1839" s="332"/>
      <c r="Q1839" s="332"/>
      <c r="R1839" s="332"/>
      <c r="S1839" s="332"/>
      <c r="T1839" s="332"/>
    </row>
    <row r="1840" spans="1:20" x14ac:dyDescent="0.6">
      <c r="A1840" s="334"/>
      <c r="B1840" s="610"/>
      <c r="C1840" s="365"/>
      <c r="D1840" s="364"/>
      <c r="E1840" s="363"/>
      <c r="F1840" s="363"/>
      <c r="G1840" s="364"/>
      <c r="H1840" s="363"/>
      <c r="I1840" s="363"/>
      <c r="J1840" s="364"/>
      <c r="K1840" s="363"/>
      <c r="L1840" s="363"/>
      <c r="M1840" s="737"/>
      <c r="N1840" s="332"/>
      <c r="O1840" s="332"/>
      <c r="P1840" s="332"/>
      <c r="Q1840" s="332"/>
      <c r="R1840" s="332"/>
      <c r="S1840" s="332"/>
      <c r="T1840" s="332"/>
    </row>
    <row r="1841" spans="1:20" x14ac:dyDescent="0.6">
      <c r="A1841" s="334"/>
      <c r="B1841" s="610"/>
      <c r="C1841" s="365"/>
      <c r="D1841" s="364"/>
      <c r="E1841" s="363"/>
      <c r="F1841" s="363"/>
      <c r="G1841" s="364"/>
      <c r="H1841" s="363"/>
      <c r="I1841" s="363"/>
      <c r="J1841" s="364"/>
      <c r="K1841" s="363"/>
      <c r="L1841" s="363"/>
      <c r="M1841" s="737"/>
      <c r="N1841" s="332"/>
      <c r="O1841" s="332"/>
      <c r="P1841" s="332"/>
      <c r="Q1841" s="332"/>
      <c r="R1841" s="332"/>
      <c r="S1841" s="332"/>
      <c r="T1841" s="332"/>
    </row>
    <row r="1842" spans="1:20" x14ac:dyDescent="0.6">
      <c r="A1842" s="334"/>
      <c r="B1842" s="610"/>
      <c r="C1842" s="365"/>
      <c r="D1842" s="364"/>
      <c r="E1842" s="363"/>
      <c r="F1842" s="363"/>
      <c r="G1842" s="364"/>
      <c r="H1842" s="363"/>
      <c r="I1842" s="363"/>
      <c r="J1842" s="364"/>
      <c r="K1842" s="363"/>
      <c r="L1842" s="363"/>
      <c r="M1842" s="737"/>
      <c r="N1842" s="332"/>
      <c r="O1842" s="332"/>
      <c r="P1842" s="332"/>
      <c r="Q1842" s="332"/>
      <c r="R1842" s="332"/>
      <c r="S1842" s="332"/>
      <c r="T1842" s="332"/>
    </row>
    <row r="1843" spans="1:20" x14ac:dyDescent="0.6">
      <c r="A1843" s="334"/>
      <c r="B1843" s="610"/>
      <c r="C1843" s="365"/>
      <c r="D1843" s="364"/>
      <c r="E1843" s="363"/>
      <c r="F1843" s="363"/>
      <c r="G1843" s="364"/>
      <c r="H1843" s="363"/>
      <c r="I1843" s="363"/>
      <c r="J1843" s="364"/>
      <c r="K1843" s="363"/>
      <c r="L1843" s="363"/>
      <c r="M1843" s="737"/>
      <c r="N1843" s="332"/>
      <c r="O1843" s="332"/>
      <c r="P1843" s="332"/>
      <c r="Q1843" s="332"/>
      <c r="R1843" s="332"/>
      <c r="S1843" s="332"/>
      <c r="T1843" s="332"/>
    </row>
    <row r="1844" spans="1:20" x14ac:dyDescent="0.6">
      <c r="A1844" s="334"/>
      <c r="B1844" s="610"/>
      <c r="C1844" s="365"/>
      <c r="D1844" s="364"/>
      <c r="E1844" s="363"/>
      <c r="F1844" s="363"/>
      <c r="G1844" s="364"/>
      <c r="H1844" s="363"/>
      <c r="I1844" s="363"/>
      <c r="J1844" s="364"/>
      <c r="K1844" s="363"/>
      <c r="L1844" s="363"/>
      <c r="M1844" s="737"/>
      <c r="N1844" s="332"/>
      <c r="O1844" s="332"/>
      <c r="P1844" s="332"/>
      <c r="Q1844" s="332"/>
      <c r="R1844" s="332"/>
      <c r="S1844" s="332"/>
      <c r="T1844" s="332"/>
    </row>
    <row r="1845" spans="1:20" x14ac:dyDescent="0.6">
      <c r="A1845" s="334"/>
      <c r="B1845" s="610"/>
      <c r="C1845" s="365"/>
      <c r="D1845" s="364"/>
      <c r="E1845" s="363"/>
      <c r="F1845" s="363"/>
      <c r="G1845" s="364"/>
      <c r="H1845" s="363"/>
      <c r="I1845" s="363"/>
      <c r="J1845" s="364"/>
      <c r="K1845" s="363"/>
      <c r="L1845" s="363"/>
      <c r="M1845" s="737"/>
      <c r="N1845" s="332"/>
      <c r="O1845" s="332"/>
      <c r="P1845" s="332"/>
      <c r="Q1845" s="332"/>
      <c r="R1845" s="332"/>
      <c r="S1845" s="332"/>
      <c r="T1845" s="332"/>
    </row>
    <row r="1846" spans="1:20" x14ac:dyDescent="0.6">
      <c r="A1846" s="334"/>
      <c r="B1846" s="610"/>
      <c r="C1846" s="365"/>
      <c r="D1846" s="364"/>
      <c r="E1846" s="363"/>
      <c r="F1846" s="363"/>
      <c r="G1846" s="364"/>
      <c r="H1846" s="363"/>
      <c r="I1846" s="363"/>
      <c r="J1846" s="364"/>
      <c r="K1846" s="363"/>
      <c r="L1846" s="363"/>
      <c r="M1846" s="737"/>
      <c r="N1846" s="332"/>
      <c r="O1846" s="332"/>
      <c r="P1846" s="332"/>
      <c r="Q1846" s="332"/>
      <c r="R1846" s="332"/>
      <c r="S1846" s="332"/>
      <c r="T1846" s="332"/>
    </row>
    <row r="1847" spans="1:20" x14ac:dyDescent="0.6">
      <c r="A1847" s="334"/>
      <c r="B1847" s="610"/>
      <c r="C1847" s="365"/>
      <c r="D1847" s="364"/>
      <c r="E1847" s="363"/>
      <c r="F1847" s="363"/>
      <c r="G1847" s="364"/>
      <c r="H1847" s="363"/>
      <c r="I1847" s="363"/>
      <c r="J1847" s="364"/>
      <c r="K1847" s="363"/>
      <c r="L1847" s="363"/>
      <c r="M1847" s="737"/>
      <c r="N1847" s="332"/>
      <c r="O1847" s="332"/>
      <c r="P1847" s="332"/>
      <c r="Q1847" s="332"/>
      <c r="R1847" s="332"/>
      <c r="S1847" s="332"/>
      <c r="T1847" s="332"/>
    </row>
    <row r="1848" spans="1:20" x14ac:dyDescent="0.6">
      <c r="A1848" s="334"/>
      <c r="B1848" s="610"/>
      <c r="C1848" s="365"/>
      <c r="D1848" s="364"/>
      <c r="E1848" s="363"/>
      <c r="F1848" s="363"/>
      <c r="G1848" s="364"/>
      <c r="H1848" s="363"/>
      <c r="I1848" s="363"/>
      <c r="J1848" s="364"/>
      <c r="K1848" s="363"/>
      <c r="L1848" s="363"/>
      <c r="M1848" s="737"/>
      <c r="N1848" s="332"/>
      <c r="O1848" s="332"/>
      <c r="P1848" s="332"/>
      <c r="Q1848" s="332"/>
      <c r="R1848" s="332"/>
      <c r="S1848" s="332"/>
      <c r="T1848" s="332"/>
    </row>
    <row r="1849" spans="1:20" x14ac:dyDescent="0.6">
      <c r="A1849" s="334"/>
      <c r="B1849" s="610"/>
      <c r="C1849" s="365"/>
      <c r="D1849" s="364"/>
      <c r="E1849" s="363"/>
      <c r="F1849" s="363"/>
      <c r="G1849" s="364"/>
      <c r="H1849" s="363"/>
      <c r="I1849" s="363"/>
      <c r="J1849" s="364"/>
      <c r="K1849" s="363"/>
      <c r="L1849" s="363"/>
      <c r="M1849" s="737"/>
      <c r="N1849" s="332"/>
      <c r="O1849" s="332"/>
      <c r="P1849" s="332"/>
      <c r="Q1849" s="332"/>
      <c r="R1849" s="332"/>
      <c r="S1849" s="332"/>
      <c r="T1849" s="332"/>
    </row>
    <row r="1850" spans="1:20" x14ac:dyDescent="0.6">
      <c r="A1850" s="334"/>
      <c r="B1850" s="610"/>
      <c r="C1850" s="365"/>
      <c r="D1850" s="364"/>
      <c r="E1850" s="363"/>
      <c r="F1850" s="363"/>
      <c r="G1850" s="364"/>
      <c r="H1850" s="363"/>
      <c r="I1850" s="363"/>
      <c r="J1850" s="364"/>
      <c r="K1850" s="363"/>
      <c r="L1850" s="363"/>
      <c r="M1850" s="737"/>
      <c r="N1850" s="332"/>
      <c r="O1850" s="332"/>
      <c r="P1850" s="332"/>
      <c r="Q1850" s="332"/>
      <c r="R1850" s="332"/>
      <c r="S1850" s="332"/>
      <c r="T1850" s="332"/>
    </row>
    <row r="1851" spans="1:20" x14ac:dyDescent="0.6">
      <c r="A1851" s="334"/>
      <c r="B1851" s="610"/>
      <c r="C1851" s="365"/>
      <c r="D1851" s="364"/>
      <c r="E1851" s="363"/>
      <c r="F1851" s="363"/>
      <c r="G1851" s="364"/>
      <c r="H1851" s="363"/>
      <c r="I1851" s="363"/>
      <c r="J1851" s="364"/>
      <c r="K1851" s="363"/>
      <c r="L1851" s="363"/>
      <c r="M1851" s="737"/>
      <c r="N1851" s="332"/>
      <c r="O1851" s="332"/>
      <c r="P1851" s="332"/>
      <c r="Q1851" s="332"/>
      <c r="R1851" s="332"/>
      <c r="S1851" s="332"/>
      <c r="T1851" s="332"/>
    </row>
    <row r="1852" spans="1:20" x14ac:dyDescent="0.6">
      <c r="A1852" s="334"/>
      <c r="B1852" s="610"/>
      <c r="C1852" s="365"/>
      <c r="D1852" s="364"/>
      <c r="E1852" s="363"/>
      <c r="F1852" s="363"/>
      <c r="G1852" s="364"/>
      <c r="H1852" s="363"/>
      <c r="I1852" s="363"/>
      <c r="J1852" s="364"/>
      <c r="K1852" s="363"/>
      <c r="L1852" s="363"/>
      <c r="M1852" s="737"/>
      <c r="N1852" s="332"/>
      <c r="O1852" s="332"/>
      <c r="P1852" s="332"/>
      <c r="Q1852" s="332"/>
      <c r="R1852" s="332"/>
      <c r="S1852" s="332"/>
      <c r="T1852" s="332"/>
    </row>
    <row r="1853" spans="1:20" x14ac:dyDescent="0.6">
      <c r="A1853" s="334"/>
      <c r="B1853" s="610"/>
      <c r="C1853" s="365"/>
      <c r="D1853" s="364"/>
      <c r="E1853" s="363"/>
      <c r="F1853" s="363"/>
      <c r="G1853" s="364"/>
      <c r="H1853" s="363"/>
      <c r="I1853" s="363"/>
      <c r="J1853" s="364"/>
      <c r="K1853" s="363"/>
      <c r="L1853" s="363"/>
      <c r="M1853" s="737"/>
      <c r="N1853" s="332"/>
      <c r="O1853" s="332"/>
      <c r="P1853" s="332"/>
      <c r="Q1853" s="332"/>
      <c r="R1853" s="332"/>
      <c r="S1853" s="332"/>
      <c r="T1853" s="332"/>
    </row>
    <row r="1854" spans="1:20" x14ac:dyDescent="0.6">
      <c r="A1854" s="334"/>
      <c r="B1854" s="610"/>
      <c r="C1854" s="365"/>
      <c r="D1854" s="364"/>
      <c r="E1854" s="363"/>
      <c r="F1854" s="363"/>
      <c r="G1854" s="364"/>
      <c r="H1854" s="363"/>
      <c r="I1854" s="363"/>
      <c r="J1854" s="364"/>
      <c r="K1854" s="363"/>
      <c r="L1854" s="363"/>
      <c r="M1854" s="737"/>
      <c r="N1854" s="332"/>
      <c r="O1854" s="332"/>
      <c r="P1854" s="332"/>
      <c r="Q1854" s="332"/>
      <c r="R1854" s="332"/>
      <c r="S1854" s="332"/>
      <c r="T1854" s="332"/>
    </row>
    <row r="1855" spans="1:20" x14ac:dyDescent="0.6">
      <c r="A1855" s="334"/>
      <c r="B1855" s="610"/>
      <c r="C1855" s="365"/>
      <c r="D1855" s="364"/>
      <c r="E1855" s="363"/>
      <c r="F1855" s="363"/>
      <c r="G1855" s="364"/>
      <c r="H1855" s="363"/>
      <c r="I1855" s="363"/>
      <c r="J1855" s="364"/>
      <c r="K1855" s="363"/>
      <c r="L1855" s="363"/>
      <c r="M1855" s="737"/>
      <c r="N1855" s="332"/>
      <c r="O1855" s="332"/>
      <c r="P1855" s="332"/>
      <c r="Q1855" s="332"/>
      <c r="R1855" s="332"/>
      <c r="S1855" s="332"/>
      <c r="T1855" s="332"/>
    </row>
    <row r="1856" spans="1:20" x14ac:dyDescent="0.6">
      <c r="A1856" s="334"/>
      <c r="B1856" s="610"/>
      <c r="C1856" s="365"/>
      <c r="D1856" s="364"/>
      <c r="E1856" s="363"/>
      <c r="F1856" s="363"/>
      <c r="G1856" s="364"/>
      <c r="H1856" s="363"/>
      <c r="I1856" s="363"/>
      <c r="J1856" s="364"/>
      <c r="K1856" s="363"/>
      <c r="L1856" s="363"/>
      <c r="M1856" s="737"/>
      <c r="N1856" s="332"/>
      <c r="O1856" s="332"/>
      <c r="P1856" s="332"/>
      <c r="Q1856" s="332"/>
      <c r="R1856" s="332"/>
      <c r="S1856" s="332"/>
      <c r="T1856" s="332"/>
    </row>
    <row r="1857" spans="1:20" x14ac:dyDescent="0.6">
      <c r="A1857" s="334"/>
      <c r="B1857" s="610"/>
      <c r="C1857" s="365"/>
      <c r="D1857" s="364"/>
      <c r="E1857" s="363"/>
      <c r="F1857" s="363"/>
      <c r="G1857" s="364"/>
      <c r="H1857" s="363"/>
      <c r="I1857" s="363"/>
      <c r="J1857" s="364"/>
      <c r="K1857" s="363"/>
      <c r="L1857" s="363"/>
      <c r="M1857" s="737"/>
      <c r="N1857" s="332"/>
      <c r="O1857" s="332"/>
      <c r="P1857" s="332"/>
      <c r="Q1857" s="332"/>
      <c r="R1857" s="332"/>
      <c r="S1857" s="332"/>
      <c r="T1857" s="332"/>
    </row>
    <row r="1858" spans="1:20" x14ac:dyDescent="0.6">
      <c r="A1858" s="334"/>
      <c r="B1858" s="610"/>
      <c r="C1858" s="365"/>
      <c r="D1858" s="364"/>
      <c r="E1858" s="363"/>
      <c r="F1858" s="363"/>
      <c r="G1858" s="364"/>
      <c r="H1858" s="363"/>
      <c r="I1858" s="363"/>
      <c r="J1858" s="364"/>
      <c r="K1858" s="363"/>
      <c r="L1858" s="363"/>
      <c r="M1858" s="737"/>
      <c r="N1858" s="332"/>
      <c r="O1858" s="332"/>
      <c r="P1858" s="332"/>
      <c r="Q1858" s="332"/>
      <c r="R1858" s="332"/>
      <c r="S1858" s="332"/>
      <c r="T1858" s="332"/>
    </row>
    <row r="1859" spans="1:20" x14ac:dyDescent="0.6">
      <c r="A1859" s="334"/>
      <c r="B1859" s="610"/>
      <c r="C1859" s="365"/>
      <c r="D1859" s="364"/>
      <c r="E1859" s="363"/>
      <c r="F1859" s="363"/>
      <c r="G1859" s="364"/>
      <c r="H1859" s="363"/>
      <c r="I1859" s="363"/>
      <c r="J1859" s="364"/>
      <c r="K1859" s="363"/>
      <c r="L1859" s="363"/>
      <c r="M1859" s="737"/>
      <c r="N1859" s="332"/>
      <c r="O1859" s="332"/>
      <c r="P1859" s="332"/>
      <c r="Q1859" s="332"/>
      <c r="R1859" s="332"/>
      <c r="S1859" s="332"/>
      <c r="T1859" s="332"/>
    </row>
    <row r="1860" spans="1:20" x14ac:dyDescent="0.6">
      <c r="A1860" s="334"/>
      <c r="B1860" s="610"/>
      <c r="C1860" s="365"/>
      <c r="D1860" s="364"/>
      <c r="E1860" s="363"/>
      <c r="F1860" s="363"/>
      <c r="G1860" s="364"/>
      <c r="H1860" s="363"/>
      <c r="I1860" s="363"/>
      <c r="J1860" s="364"/>
      <c r="K1860" s="363"/>
      <c r="L1860" s="363"/>
      <c r="M1860" s="737"/>
      <c r="N1860" s="332"/>
      <c r="O1860" s="332"/>
      <c r="P1860" s="332"/>
      <c r="Q1860" s="332"/>
      <c r="R1860" s="332"/>
      <c r="S1860" s="332"/>
      <c r="T1860" s="332"/>
    </row>
    <row r="1861" spans="1:20" x14ac:dyDescent="0.6">
      <c r="A1861" s="334"/>
      <c r="B1861" s="610"/>
      <c r="C1861" s="365"/>
      <c r="D1861" s="364"/>
      <c r="E1861" s="363"/>
      <c r="F1861" s="363"/>
      <c r="G1861" s="364"/>
      <c r="H1861" s="363"/>
      <c r="I1861" s="363"/>
      <c r="J1861" s="364"/>
      <c r="K1861" s="363"/>
      <c r="L1861" s="363"/>
      <c r="M1861" s="737"/>
      <c r="N1861" s="332"/>
      <c r="O1861" s="332"/>
      <c r="P1861" s="332"/>
      <c r="Q1861" s="332"/>
      <c r="R1861" s="332"/>
      <c r="S1861" s="332"/>
      <c r="T1861" s="332"/>
    </row>
    <row r="1862" spans="1:20" x14ac:dyDescent="0.6">
      <c r="A1862" s="334"/>
      <c r="B1862" s="610"/>
      <c r="C1862" s="365"/>
      <c r="D1862" s="364"/>
      <c r="E1862" s="363"/>
      <c r="F1862" s="363"/>
      <c r="G1862" s="364"/>
      <c r="H1862" s="363"/>
      <c r="I1862" s="363"/>
      <c r="J1862" s="364"/>
      <c r="K1862" s="363"/>
      <c r="L1862" s="363"/>
      <c r="M1862" s="737"/>
      <c r="N1862" s="332"/>
      <c r="O1862" s="332"/>
      <c r="P1862" s="332"/>
      <c r="Q1862" s="332"/>
      <c r="R1862" s="332"/>
      <c r="S1862" s="332"/>
      <c r="T1862" s="332"/>
    </row>
    <row r="1863" spans="1:20" x14ac:dyDescent="0.6">
      <c r="A1863" s="334"/>
      <c r="B1863" s="610"/>
      <c r="C1863" s="365"/>
      <c r="D1863" s="364"/>
      <c r="E1863" s="363"/>
      <c r="F1863" s="363"/>
      <c r="G1863" s="364"/>
      <c r="H1863" s="363"/>
      <c r="I1863" s="363"/>
      <c r="J1863" s="364"/>
      <c r="K1863" s="363"/>
      <c r="L1863" s="363"/>
      <c r="M1863" s="737"/>
      <c r="N1863" s="332"/>
      <c r="O1863" s="332"/>
      <c r="P1863" s="332"/>
      <c r="Q1863" s="332"/>
      <c r="R1863" s="332"/>
      <c r="S1863" s="332"/>
      <c r="T1863" s="332"/>
    </row>
    <row r="1864" spans="1:20" x14ac:dyDescent="0.6">
      <c r="A1864" s="334"/>
      <c r="B1864" s="610"/>
      <c r="C1864" s="365"/>
      <c r="D1864" s="364"/>
      <c r="E1864" s="363"/>
      <c r="F1864" s="363"/>
      <c r="G1864" s="364"/>
      <c r="H1864" s="363"/>
      <c r="I1864" s="363"/>
      <c r="J1864" s="364"/>
      <c r="K1864" s="363"/>
      <c r="L1864" s="363"/>
      <c r="M1864" s="737"/>
      <c r="N1864" s="332"/>
      <c r="O1864" s="332"/>
      <c r="P1864" s="332"/>
      <c r="Q1864" s="332"/>
      <c r="R1864" s="332"/>
      <c r="S1864" s="332"/>
      <c r="T1864" s="332"/>
    </row>
    <row r="1865" spans="1:20" x14ac:dyDescent="0.6">
      <c r="A1865" s="334"/>
      <c r="B1865" s="610"/>
      <c r="C1865" s="365"/>
      <c r="D1865" s="364"/>
      <c r="E1865" s="363"/>
      <c r="F1865" s="363"/>
      <c r="G1865" s="364"/>
      <c r="H1865" s="363"/>
      <c r="I1865" s="363"/>
      <c r="J1865" s="364"/>
      <c r="K1865" s="363"/>
      <c r="L1865" s="363"/>
      <c r="M1865" s="737"/>
      <c r="N1865" s="332"/>
      <c r="O1865" s="332"/>
      <c r="P1865" s="332"/>
      <c r="Q1865" s="332"/>
      <c r="R1865" s="332"/>
      <c r="S1865" s="332"/>
      <c r="T1865" s="332"/>
    </row>
    <row r="1866" spans="1:20" x14ac:dyDescent="0.6">
      <c r="A1866" s="334"/>
      <c r="B1866" s="610"/>
      <c r="C1866" s="365"/>
      <c r="D1866" s="364"/>
      <c r="E1866" s="363"/>
      <c r="F1866" s="363"/>
      <c r="G1866" s="364"/>
      <c r="H1866" s="363"/>
      <c r="I1866" s="363"/>
      <c r="J1866" s="364"/>
      <c r="K1866" s="363"/>
      <c r="L1866" s="363"/>
      <c r="M1866" s="737"/>
      <c r="N1866" s="332"/>
      <c r="O1866" s="332"/>
      <c r="P1866" s="332"/>
      <c r="Q1866" s="332"/>
      <c r="R1866" s="332"/>
      <c r="S1866" s="332"/>
      <c r="T1866" s="332"/>
    </row>
    <row r="1867" spans="1:20" x14ac:dyDescent="0.6">
      <c r="A1867" s="334"/>
      <c r="B1867" s="610"/>
      <c r="C1867" s="365"/>
      <c r="D1867" s="364"/>
      <c r="E1867" s="363"/>
      <c r="F1867" s="363"/>
      <c r="G1867" s="364"/>
      <c r="H1867" s="363"/>
      <c r="I1867" s="363"/>
      <c r="J1867" s="364"/>
      <c r="K1867" s="363"/>
      <c r="L1867" s="363"/>
      <c r="M1867" s="737"/>
      <c r="N1867" s="332"/>
      <c r="O1867" s="332"/>
      <c r="P1867" s="332"/>
      <c r="Q1867" s="332"/>
      <c r="R1867" s="332"/>
      <c r="S1867" s="332"/>
      <c r="T1867" s="332"/>
    </row>
    <row r="1868" spans="1:20" x14ac:dyDescent="0.6">
      <c r="A1868" s="334"/>
      <c r="B1868" s="610"/>
      <c r="C1868" s="365"/>
      <c r="D1868" s="364"/>
      <c r="E1868" s="363"/>
      <c r="F1868" s="363"/>
      <c r="G1868" s="364"/>
      <c r="H1868" s="363"/>
      <c r="I1868" s="363"/>
      <c r="J1868" s="364"/>
      <c r="K1868" s="363"/>
      <c r="L1868" s="363"/>
      <c r="M1868" s="737"/>
      <c r="N1868" s="332"/>
      <c r="O1868" s="332"/>
      <c r="P1868" s="332"/>
      <c r="Q1868" s="332"/>
      <c r="R1868" s="332"/>
      <c r="S1868" s="332"/>
      <c r="T1868" s="332"/>
    </row>
    <row r="1869" spans="1:20" x14ac:dyDescent="0.6">
      <c r="A1869" s="334"/>
      <c r="B1869" s="610"/>
      <c r="C1869" s="365"/>
      <c r="D1869" s="364"/>
      <c r="E1869" s="363"/>
      <c r="F1869" s="363"/>
      <c r="G1869" s="364"/>
      <c r="H1869" s="363"/>
      <c r="I1869" s="363"/>
      <c r="J1869" s="364"/>
      <c r="K1869" s="363"/>
      <c r="L1869" s="363"/>
      <c r="M1869" s="737"/>
      <c r="N1869" s="332"/>
      <c r="O1869" s="332"/>
      <c r="P1869" s="332"/>
      <c r="Q1869" s="332"/>
      <c r="R1869" s="332"/>
      <c r="S1869" s="332"/>
      <c r="T1869" s="332"/>
    </row>
    <row r="1870" spans="1:20" x14ac:dyDescent="0.6">
      <c r="A1870" s="334"/>
      <c r="B1870" s="610"/>
      <c r="C1870" s="365"/>
      <c r="D1870" s="364"/>
      <c r="E1870" s="363"/>
      <c r="F1870" s="363"/>
      <c r="G1870" s="364"/>
      <c r="H1870" s="363"/>
      <c r="I1870" s="363"/>
      <c r="J1870" s="364"/>
      <c r="K1870" s="363"/>
      <c r="L1870" s="363"/>
      <c r="M1870" s="737"/>
      <c r="N1870" s="332"/>
      <c r="O1870" s="332"/>
      <c r="P1870" s="332"/>
      <c r="Q1870" s="332"/>
      <c r="R1870" s="332"/>
      <c r="S1870" s="332"/>
      <c r="T1870" s="332"/>
    </row>
    <row r="1871" spans="1:20" x14ac:dyDescent="0.6">
      <c r="A1871" s="334"/>
      <c r="B1871" s="610"/>
      <c r="C1871" s="365"/>
      <c r="D1871" s="364"/>
      <c r="E1871" s="363"/>
      <c r="F1871" s="363"/>
      <c r="G1871" s="364"/>
      <c r="H1871" s="363"/>
      <c r="I1871" s="363"/>
      <c r="J1871" s="364"/>
      <c r="K1871" s="363"/>
      <c r="L1871" s="363"/>
      <c r="M1871" s="737"/>
      <c r="N1871" s="332"/>
      <c r="O1871" s="332"/>
      <c r="P1871" s="332"/>
      <c r="Q1871" s="332"/>
      <c r="R1871" s="332"/>
      <c r="S1871" s="332"/>
      <c r="T1871" s="332"/>
    </row>
    <row r="1872" spans="1:20" x14ac:dyDescent="0.6">
      <c r="A1872" s="334"/>
      <c r="B1872" s="610"/>
      <c r="C1872" s="365"/>
      <c r="D1872" s="364"/>
      <c r="E1872" s="363"/>
      <c r="F1872" s="363"/>
      <c r="G1872" s="364"/>
      <c r="H1872" s="363"/>
      <c r="I1872" s="363"/>
      <c r="J1872" s="364"/>
      <c r="K1872" s="363"/>
      <c r="L1872" s="363"/>
      <c r="M1872" s="737"/>
      <c r="N1872" s="332"/>
      <c r="O1872" s="332"/>
      <c r="P1872" s="332"/>
      <c r="Q1872" s="332"/>
      <c r="R1872" s="332"/>
      <c r="S1872" s="332"/>
      <c r="T1872" s="332"/>
    </row>
    <row r="1873" spans="1:20" x14ac:dyDescent="0.6">
      <c r="A1873" s="334"/>
      <c r="B1873" s="610"/>
      <c r="C1873" s="365"/>
      <c r="D1873" s="364"/>
      <c r="E1873" s="363"/>
      <c r="F1873" s="363"/>
      <c r="G1873" s="364"/>
      <c r="H1873" s="363"/>
      <c r="I1873" s="363"/>
      <c r="J1873" s="364"/>
      <c r="K1873" s="363"/>
      <c r="L1873" s="363"/>
      <c r="M1873" s="737"/>
      <c r="N1873" s="332"/>
      <c r="O1873" s="332"/>
      <c r="P1873" s="332"/>
      <c r="Q1873" s="332"/>
      <c r="R1873" s="332"/>
      <c r="S1873" s="332"/>
      <c r="T1873" s="332"/>
    </row>
    <row r="1874" spans="1:20" x14ac:dyDescent="0.6">
      <c r="A1874" s="334"/>
      <c r="B1874" s="610"/>
      <c r="C1874" s="365"/>
      <c r="D1874" s="364"/>
      <c r="E1874" s="363"/>
      <c r="F1874" s="363"/>
      <c r="G1874" s="364"/>
      <c r="H1874" s="363"/>
      <c r="I1874" s="363"/>
      <c r="J1874" s="364"/>
      <c r="K1874" s="363"/>
      <c r="L1874" s="363"/>
      <c r="M1874" s="737"/>
      <c r="N1874" s="332"/>
      <c r="O1874" s="332"/>
      <c r="P1874" s="332"/>
      <c r="Q1874" s="332"/>
      <c r="R1874" s="332"/>
      <c r="S1874" s="332"/>
      <c r="T1874" s="332"/>
    </row>
    <row r="1875" spans="1:20" x14ac:dyDescent="0.6">
      <c r="A1875" s="334"/>
      <c r="B1875" s="610"/>
      <c r="C1875" s="365"/>
      <c r="D1875" s="364"/>
      <c r="E1875" s="363"/>
      <c r="F1875" s="363"/>
      <c r="G1875" s="364"/>
      <c r="H1875" s="363"/>
      <c r="I1875" s="363"/>
      <c r="J1875" s="364"/>
      <c r="K1875" s="363"/>
      <c r="L1875" s="363"/>
      <c r="M1875" s="737"/>
      <c r="N1875" s="332"/>
      <c r="O1875" s="332"/>
      <c r="P1875" s="332"/>
      <c r="Q1875" s="332"/>
      <c r="R1875" s="332"/>
      <c r="S1875" s="332"/>
      <c r="T1875" s="332"/>
    </row>
    <row r="1876" spans="1:20" x14ac:dyDescent="0.6">
      <c r="A1876" s="334"/>
      <c r="B1876" s="610"/>
      <c r="C1876" s="365"/>
      <c r="D1876" s="364"/>
      <c r="E1876" s="363"/>
      <c r="F1876" s="363"/>
      <c r="G1876" s="364"/>
      <c r="H1876" s="363"/>
      <c r="I1876" s="363"/>
      <c r="J1876" s="364"/>
      <c r="K1876" s="363"/>
      <c r="L1876" s="363"/>
      <c r="M1876" s="737"/>
      <c r="N1876" s="332"/>
      <c r="O1876" s="332"/>
      <c r="P1876" s="332"/>
      <c r="Q1876" s="332"/>
      <c r="R1876" s="332"/>
      <c r="S1876" s="332"/>
      <c r="T1876" s="332"/>
    </row>
    <row r="1877" spans="1:20" x14ac:dyDescent="0.6">
      <c r="A1877" s="334"/>
      <c r="B1877" s="610"/>
      <c r="C1877" s="365"/>
      <c r="D1877" s="364"/>
      <c r="E1877" s="363"/>
      <c r="F1877" s="363"/>
      <c r="G1877" s="364"/>
      <c r="H1877" s="363"/>
      <c r="I1877" s="363"/>
      <c r="J1877" s="364"/>
      <c r="K1877" s="363"/>
      <c r="L1877" s="363"/>
      <c r="M1877" s="737"/>
      <c r="N1877" s="332"/>
      <c r="O1877" s="332"/>
      <c r="P1877" s="332"/>
      <c r="Q1877" s="332"/>
      <c r="R1877" s="332"/>
      <c r="S1877" s="332"/>
      <c r="T1877" s="332"/>
    </row>
    <row r="1878" spans="1:20" x14ac:dyDescent="0.6">
      <c r="A1878" s="334"/>
      <c r="B1878" s="610"/>
      <c r="C1878" s="365"/>
      <c r="D1878" s="364"/>
      <c r="E1878" s="363"/>
      <c r="F1878" s="363"/>
      <c r="G1878" s="364"/>
      <c r="H1878" s="363"/>
      <c r="I1878" s="363"/>
      <c r="J1878" s="364"/>
      <c r="K1878" s="363"/>
      <c r="L1878" s="363"/>
      <c r="M1878" s="737"/>
      <c r="N1878" s="332"/>
      <c r="O1878" s="332"/>
      <c r="P1878" s="332"/>
      <c r="Q1878" s="332"/>
      <c r="R1878" s="332"/>
      <c r="S1878" s="332"/>
      <c r="T1878" s="332"/>
    </row>
    <row r="1879" spans="1:20" x14ac:dyDescent="0.6">
      <c r="A1879" s="334"/>
      <c r="B1879" s="610"/>
      <c r="C1879" s="365"/>
      <c r="D1879" s="364"/>
      <c r="E1879" s="363"/>
      <c r="F1879" s="363"/>
      <c r="G1879" s="364"/>
      <c r="H1879" s="363"/>
      <c r="I1879" s="363"/>
      <c r="J1879" s="364"/>
      <c r="K1879" s="363"/>
      <c r="L1879" s="363"/>
      <c r="M1879" s="737"/>
      <c r="N1879" s="332"/>
      <c r="O1879" s="332"/>
      <c r="P1879" s="332"/>
      <c r="Q1879" s="332"/>
      <c r="R1879" s="332"/>
      <c r="S1879" s="332"/>
      <c r="T1879" s="332"/>
    </row>
    <row r="1880" spans="1:20" x14ac:dyDescent="0.6">
      <c r="A1880" s="334"/>
      <c r="B1880" s="610"/>
      <c r="C1880" s="365"/>
      <c r="D1880" s="364"/>
      <c r="E1880" s="363"/>
      <c r="F1880" s="363"/>
      <c r="G1880" s="364"/>
      <c r="H1880" s="363"/>
      <c r="I1880" s="363"/>
      <c r="J1880" s="364"/>
      <c r="K1880" s="363"/>
      <c r="L1880" s="363"/>
      <c r="M1880" s="737"/>
      <c r="N1880" s="332"/>
      <c r="O1880" s="332"/>
      <c r="P1880" s="332"/>
      <c r="Q1880" s="332"/>
      <c r="R1880" s="332"/>
      <c r="S1880" s="332"/>
      <c r="T1880" s="332"/>
    </row>
    <row r="1881" spans="1:20" x14ac:dyDescent="0.6">
      <c r="A1881" s="334"/>
      <c r="B1881" s="610"/>
      <c r="C1881" s="365"/>
      <c r="D1881" s="364"/>
      <c r="E1881" s="363"/>
      <c r="F1881" s="363"/>
      <c r="G1881" s="364"/>
      <c r="H1881" s="363"/>
      <c r="I1881" s="363"/>
      <c r="J1881" s="364"/>
      <c r="K1881" s="363"/>
      <c r="L1881" s="363"/>
      <c r="M1881" s="737"/>
      <c r="N1881" s="332"/>
      <c r="O1881" s="332"/>
      <c r="P1881" s="332"/>
      <c r="Q1881" s="332"/>
      <c r="R1881" s="332"/>
      <c r="S1881" s="332"/>
      <c r="T1881" s="332"/>
    </row>
    <row r="1882" spans="1:20" x14ac:dyDescent="0.6">
      <c r="A1882" s="334"/>
      <c r="B1882" s="610"/>
      <c r="C1882" s="365"/>
      <c r="D1882" s="364"/>
      <c r="E1882" s="363"/>
      <c r="F1882" s="363"/>
      <c r="G1882" s="364"/>
      <c r="H1882" s="363"/>
      <c r="I1882" s="363"/>
      <c r="J1882" s="364"/>
      <c r="K1882" s="363"/>
      <c r="L1882" s="363"/>
      <c r="M1882" s="737"/>
      <c r="N1882" s="332"/>
      <c r="O1882" s="332"/>
      <c r="P1882" s="332"/>
      <c r="Q1882" s="332"/>
      <c r="R1882" s="332"/>
      <c r="S1882" s="332"/>
      <c r="T1882" s="332"/>
    </row>
    <row r="1883" spans="1:20" x14ac:dyDescent="0.6">
      <c r="A1883" s="334"/>
      <c r="B1883" s="610"/>
      <c r="C1883" s="365"/>
      <c r="D1883" s="364"/>
      <c r="E1883" s="363"/>
      <c r="F1883" s="363"/>
      <c r="G1883" s="364"/>
      <c r="H1883" s="363"/>
      <c r="I1883" s="363"/>
      <c r="J1883" s="364"/>
      <c r="K1883" s="363"/>
      <c r="L1883" s="363"/>
      <c r="M1883" s="737"/>
      <c r="N1883" s="332"/>
      <c r="O1883" s="332"/>
      <c r="P1883" s="332"/>
      <c r="Q1883" s="332"/>
      <c r="R1883" s="332"/>
      <c r="S1883" s="332"/>
      <c r="T1883" s="332"/>
    </row>
    <row r="1884" spans="1:20" x14ac:dyDescent="0.6">
      <c r="A1884" s="334"/>
      <c r="B1884" s="610"/>
      <c r="C1884" s="365"/>
      <c r="D1884" s="364"/>
      <c r="E1884" s="363"/>
      <c r="F1884" s="363"/>
      <c r="G1884" s="364"/>
      <c r="H1884" s="363"/>
      <c r="I1884" s="363"/>
      <c r="J1884" s="364"/>
      <c r="K1884" s="363"/>
      <c r="L1884" s="363"/>
      <c r="M1884" s="737"/>
      <c r="N1884" s="332"/>
      <c r="O1884" s="332"/>
      <c r="P1884" s="332"/>
      <c r="Q1884" s="332"/>
      <c r="R1884" s="332"/>
      <c r="S1884" s="332"/>
      <c r="T1884" s="332"/>
    </row>
    <row r="1885" spans="1:20" x14ac:dyDescent="0.6">
      <c r="A1885" s="334"/>
      <c r="B1885" s="610"/>
      <c r="C1885" s="365"/>
      <c r="D1885" s="364"/>
      <c r="E1885" s="363"/>
      <c r="F1885" s="363"/>
      <c r="G1885" s="364"/>
      <c r="H1885" s="363"/>
      <c r="I1885" s="363"/>
      <c r="J1885" s="364"/>
      <c r="K1885" s="363"/>
      <c r="L1885" s="363"/>
      <c r="M1885" s="737"/>
      <c r="N1885" s="332"/>
      <c r="O1885" s="332"/>
      <c r="P1885" s="332"/>
      <c r="Q1885" s="332"/>
      <c r="R1885" s="332"/>
      <c r="S1885" s="332"/>
      <c r="T1885" s="332"/>
    </row>
    <row r="1886" spans="1:20" x14ac:dyDescent="0.6">
      <c r="A1886" s="334"/>
      <c r="B1886" s="610"/>
      <c r="C1886" s="365"/>
      <c r="D1886" s="364"/>
      <c r="E1886" s="363"/>
      <c r="F1886" s="363"/>
      <c r="G1886" s="364"/>
      <c r="H1886" s="363"/>
      <c r="I1886" s="363"/>
      <c r="J1886" s="364"/>
      <c r="K1886" s="363"/>
      <c r="L1886" s="363"/>
      <c r="M1886" s="737"/>
      <c r="N1886" s="332"/>
      <c r="O1886" s="332"/>
      <c r="P1886" s="332"/>
      <c r="Q1886" s="332"/>
      <c r="R1886" s="332"/>
      <c r="S1886" s="332"/>
      <c r="T1886" s="332"/>
    </row>
    <row r="1887" spans="1:20" x14ac:dyDescent="0.6">
      <c r="A1887" s="334"/>
      <c r="B1887" s="610"/>
      <c r="C1887" s="365"/>
      <c r="D1887" s="364"/>
      <c r="E1887" s="363"/>
      <c r="F1887" s="363"/>
      <c r="G1887" s="364"/>
      <c r="H1887" s="363"/>
      <c r="I1887" s="363"/>
      <c r="J1887" s="364"/>
      <c r="K1887" s="363"/>
      <c r="L1887" s="363"/>
      <c r="M1887" s="737"/>
      <c r="N1887" s="332"/>
      <c r="O1887" s="332"/>
      <c r="P1887" s="332"/>
      <c r="Q1887" s="332"/>
      <c r="R1887" s="332"/>
      <c r="S1887" s="332"/>
      <c r="T1887" s="332"/>
    </row>
    <row r="1888" spans="1:20" x14ac:dyDescent="0.6">
      <c r="A1888" s="334"/>
      <c r="B1888" s="610"/>
      <c r="C1888" s="365"/>
      <c r="D1888" s="364"/>
      <c r="E1888" s="363"/>
      <c r="F1888" s="363"/>
      <c r="G1888" s="364"/>
      <c r="H1888" s="363"/>
      <c r="I1888" s="363"/>
      <c r="J1888" s="364"/>
      <c r="K1888" s="363"/>
      <c r="L1888" s="363"/>
      <c r="M1888" s="737"/>
      <c r="N1888" s="332"/>
      <c r="O1888" s="332"/>
      <c r="P1888" s="332"/>
      <c r="Q1888" s="332"/>
      <c r="R1888" s="332"/>
      <c r="S1888" s="332"/>
      <c r="T1888" s="332"/>
    </row>
    <row r="1889" spans="1:20" x14ac:dyDescent="0.6">
      <c r="A1889" s="334"/>
      <c r="B1889" s="610"/>
      <c r="C1889" s="365"/>
      <c r="D1889" s="364"/>
      <c r="E1889" s="363"/>
      <c r="F1889" s="363"/>
      <c r="G1889" s="364"/>
      <c r="H1889" s="363"/>
      <c r="I1889" s="363"/>
      <c r="J1889" s="364"/>
      <c r="K1889" s="363"/>
      <c r="L1889" s="363"/>
      <c r="M1889" s="737"/>
      <c r="N1889" s="332"/>
      <c r="O1889" s="332"/>
      <c r="P1889" s="332"/>
      <c r="Q1889" s="332"/>
      <c r="R1889" s="332"/>
      <c r="S1889" s="332"/>
      <c r="T1889" s="332"/>
    </row>
    <row r="1890" spans="1:20" x14ac:dyDescent="0.6">
      <c r="A1890" s="334"/>
      <c r="B1890" s="610"/>
      <c r="C1890" s="365"/>
      <c r="D1890" s="364"/>
      <c r="E1890" s="363"/>
      <c r="F1890" s="363"/>
      <c r="G1890" s="364"/>
      <c r="H1890" s="363"/>
      <c r="I1890" s="363"/>
      <c r="J1890" s="364"/>
      <c r="K1890" s="363"/>
      <c r="L1890" s="363"/>
      <c r="M1890" s="737"/>
      <c r="N1890" s="332"/>
      <c r="O1890" s="332"/>
      <c r="P1890" s="332"/>
      <c r="Q1890" s="332"/>
      <c r="R1890" s="332"/>
      <c r="S1890" s="332"/>
      <c r="T1890" s="332"/>
    </row>
    <row r="1891" spans="1:20" x14ac:dyDescent="0.6">
      <c r="A1891" s="334"/>
      <c r="B1891" s="610"/>
      <c r="C1891" s="365"/>
      <c r="D1891" s="364"/>
      <c r="E1891" s="363"/>
      <c r="F1891" s="363"/>
      <c r="G1891" s="364"/>
      <c r="H1891" s="363"/>
      <c r="I1891" s="363"/>
      <c r="J1891" s="364"/>
      <c r="K1891" s="363"/>
      <c r="L1891" s="363"/>
      <c r="M1891" s="737"/>
      <c r="N1891" s="332"/>
      <c r="O1891" s="332"/>
      <c r="P1891" s="332"/>
      <c r="Q1891" s="332"/>
      <c r="R1891" s="332"/>
      <c r="S1891" s="332"/>
      <c r="T1891" s="332"/>
    </row>
    <row r="1892" spans="1:20" x14ac:dyDescent="0.6">
      <c r="A1892" s="334"/>
      <c r="B1892" s="610"/>
      <c r="C1892" s="365"/>
      <c r="D1892" s="364"/>
      <c r="E1892" s="363"/>
      <c r="F1892" s="363"/>
      <c r="G1892" s="364"/>
      <c r="H1892" s="363"/>
      <c r="I1892" s="363"/>
      <c r="J1892" s="364"/>
      <c r="K1892" s="363"/>
      <c r="L1892" s="363"/>
      <c r="M1892" s="737"/>
      <c r="N1892" s="332"/>
      <c r="O1892" s="332"/>
      <c r="P1892" s="332"/>
      <c r="Q1892" s="332"/>
      <c r="R1892" s="332"/>
      <c r="S1892" s="332"/>
      <c r="T1892" s="332"/>
    </row>
    <row r="1893" spans="1:20" x14ac:dyDescent="0.6">
      <c r="A1893" s="334"/>
      <c r="B1893" s="610"/>
      <c r="C1893" s="365"/>
      <c r="D1893" s="364"/>
      <c r="E1893" s="363"/>
      <c r="F1893" s="363"/>
      <c r="G1893" s="364"/>
      <c r="H1893" s="363"/>
      <c r="I1893" s="363"/>
      <c r="J1893" s="364"/>
      <c r="K1893" s="363"/>
      <c r="L1893" s="363"/>
      <c r="M1893" s="737"/>
      <c r="N1893" s="332"/>
      <c r="O1893" s="332"/>
      <c r="P1893" s="332"/>
      <c r="Q1893" s="332"/>
      <c r="R1893" s="332"/>
      <c r="S1893" s="332"/>
      <c r="T1893" s="332"/>
    </row>
    <row r="1894" spans="1:20" x14ac:dyDescent="0.6">
      <c r="A1894" s="334"/>
      <c r="B1894" s="610"/>
      <c r="C1894" s="365"/>
      <c r="D1894" s="364"/>
      <c r="E1894" s="363"/>
      <c r="F1894" s="363"/>
      <c r="G1894" s="364"/>
      <c r="H1894" s="363"/>
      <c r="I1894" s="363"/>
      <c r="J1894" s="364"/>
      <c r="K1894" s="363"/>
      <c r="L1894" s="363"/>
      <c r="M1894" s="737"/>
      <c r="N1894" s="332"/>
      <c r="O1894" s="332"/>
      <c r="P1894" s="332"/>
      <c r="Q1894" s="332"/>
      <c r="R1894" s="332"/>
      <c r="S1894" s="332"/>
      <c r="T1894" s="332"/>
    </row>
    <row r="1895" spans="1:20" x14ac:dyDescent="0.6">
      <c r="A1895" s="334"/>
      <c r="B1895" s="610"/>
      <c r="C1895" s="365"/>
      <c r="D1895" s="364"/>
      <c r="E1895" s="363"/>
      <c r="F1895" s="363"/>
      <c r="G1895" s="364"/>
      <c r="H1895" s="363"/>
      <c r="I1895" s="363"/>
      <c r="J1895" s="364"/>
      <c r="K1895" s="363"/>
      <c r="L1895" s="363"/>
      <c r="M1895" s="737"/>
      <c r="N1895" s="332"/>
      <c r="O1895" s="332"/>
      <c r="P1895" s="332"/>
      <c r="Q1895" s="332"/>
      <c r="R1895" s="332"/>
      <c r="S1895" s="332"/>
      <c r="T1895" s="332"/>
    </row>
    <row r="1896" spans="1:20" x14ac:dyDescent="0.6">
      <c r="A1896" s="334"/>
      <c r="B1896" s="610"/>
      <c r="C1896" s="365"/>
      <c r="D1896" s="364"/>
      <c r="E1896" s="363"/>
      <c r="F1896" s="363"/>
      <c r="G1896" s="364"/>
      <c r="H1896" s="363"/>
      <c r="I1896" s="363"/>
      <c r="J1896" s="364"/>
      <c r="K1896" s="363"/>
      <c r="L1896" s="363"/>
      <c r="M1896" s="737"/>
      <c r="N1896" s="332"/>
      <c r="O1896" s="332"/>
      <c r="P1896" s="332"/>
      <c r="Q1896" s="332"/>
      <c r="R1896" s="332"/>
      <c r="S1896" s="332"/>
      <c r="T1896" s="332"/>
    </row>
    <row r="1897" spans="1:20" x14ac:dyDescent="0.6">
      <c r="A1897" s="334"/>
      <c r="B1897" s="610"/>
      <c r="C1897" s="365"/>
      <c r="D1897" s="364"/>
      <c r="E1897" s="363"/>
      <c r="F1897" s="363"/>
      <c r="G1897" s="364"/>
      <c r="H1897" s="363"/>
      <c r="I1897" s="363"/>
      <c r="J1897" s="364"/>
      <c r="K1897" s="363"/>
      <c r="L1897" s="363"/>
      <c r="M1897" s="737"/>
      <c r="N1897" s="332"/>
      <c r="O1897" s="332"/>
      <c r="P1897" s="332"/>
      <c r="Q1897" s="332"/>
      <c r="R1897" s="332"/>
      <c r="S1897" s="332"/>
      <c r="T1897" s="332"/>
    </row>
    <row r="1898" spans="1:20" x14ac:dyDescent="0.6">
      <c r="A1898" s="334"/>
      <c r="B1898" s="610"/>
      <c r="C1898" s="365"/>
      <c r="D1898" s="364"/>
      <c r="E1898" s="363"/>
      <c r="F1898" s="363"/>
      <c r="G1898" s="364"/>
      <c r="H1898" s="363"/>
      <c r="I1898" s="363"/>
      <c r="J1898" s="364"/>
      <c r="K1898" s="363"/>
      <c r="L1898" s="363"/>
      <c r="M1898" s="737"/>
      <c r="N1898" s="332"/>
      <c r="O1898" s="332"/>
      <c r="P1898" s="332"/>
      <c r="Q1898" s="332"/>
      <c r="R1898" s="332"/>
      <c r="S1898" s="332"/>
      <c r="T1898" s="332"/>
    </row>
    <row r="1899" spans="1:20" x14ac:dyDescent="0.6">
      <c r="A1899" s="334"/>
      <c r="B1899" s="610"/>
      <c r="C1899" s="365"/>
      <c r="D1899" s="364"/>
      <c r="E1899" s="363"/>
      <c r="F1899" s="363"/>
      <c r="G1899" s="364"/>
      <c r="H1899" s="363"/>
      <c r="I1899" s="363"/>
      <c r="J1899" s="364"/>
      <c r="K1899" s="363"/>
      <c r="L1899" s="363"/>
      <c r="M1899" s="737"/>
      <c r="N1899" s="332"/>
      <c r="O1899" s="332"/>
      <c r="P1899" s="332"/>
      <c r="Q1899" s="332"/>
      <c r="R1899" s="332"/>
      <c r="S1899" s="332"/>
      <c r="T1899" s="332"/>
    </row>
    <row r="1900" spans="1:20" x14ac:dyDescent="0.6">
      <c r="A1900" s="334"/>
      <c r="B1900" s="610"/>
      <c r="C1900" s="365"/>
      <c r="D1900" s="364"/>
      <c r="E1900" s="363"/>
      <c r="F1900" s="363"/>
      <c r="G1900" s="364"/>
      <c r="H1900" s="363"/>
      <c r="I1900" s="363"/>
      <c r="J1900" s="364"/>
      <c r="K1900" s="363"/>
      <c r="L1900" s="363"/>
      <c r="M1900" s="737"/>
      <c r="N1900" s="332"/>
      <c r="O1900" s="332"/>
      <c r="P1900" s="332"/>
      <c r="Q1900" s="332"/>
      <c r="R1900" s="332"/>
      <c r="S1900" s="332"/>
      <c r="T1900" s="332"/>
    </row>
    <row r="1901" spans="1:20" x14ac:dyDescent="0.6">
      <c r="A1901" s="334"/>
      <c r="B1901" s="610"/>
      <c r="C1901" s="365"/>
      <c r="D1901" s="364"/>
      <c r="E1901" s="363"/>
      <c r="F1901" s="363"/>
      <c r="G1901" s="364"/>
      <c r="H1901" s="363"/>
      <c r="I1901" s="363"/>
      <c r="J1901" s="364"/>
      <c r="K1901" s="363"/>
      <c r="L1901" s="363"/>
      <c r="M1901" s="737"/>
      <c r="N1901" s="332"/>
      <c r="O1901" s="332"/>
      <c r="P1901" s="332"/>
      <c r="Q1901" s="332"/>
      <c r="R1901" s="332"/>
      <c r="S1901" s="332"/>
      <c r="T1901" s="332"/>
    </row>
    <row r="1902" spans="1:20" x14ac:dyDescent="0.6">
      <c r="A1902" s="334"/>
      <c r="B1902" s="610"/>
      <c r="C1902" s="365"/>
      <c r="D1902" s="364"/>
      <c r="E1902" s="363"/>
      <c r="F1902" s="363"/>
      <c r="G1902" s="364"/>
      <c r="H1902" s="363"/>
      <c r="I1902" s="363"/>
      <c r="J1902" s="364"/>
      <c r="K1902" s="363"/>
      <c r="L1902" s="363"/>
      <c r="M1902" s="737"/>
      <c r="N1902" s="332"/>
      <c r="O1902" s="332"/>
      <c r="P1902" s="332"/>
      <c r="Q1902" s="332"/>
      <c r="R1902" s="332"/>
      <c r="S1902" s="332"/>
      <c r="T1902" s="332"/>
    </row>
    <row r="1903" spans="1:20" x14ac:dyDescent="0.6">
      <c r="A1903" s="334"/>
      <c r="B1903" s="610"/>
      <c r="C1903" s="365"/>
      <c r="D1903" s="364"/>
      <c r="E1903" s="363"/>
      <c r="F1903" s="363"/>
      <c r="G1903" s="364"/>
      <c r="H1903" s="363"/>
      <c r="I1903" s="363"/>
      <c r="J1903" s="364"/>
      <c r="K1903" s="363"/>
      <c r="L1903" s="363"/>
      <c r="M1903" s="737"/>
      <c r="N1903" s="332"/>
      <c r="O1903" s="332"/>
      <c r="P1903" s="332"/>
      <c r="Q1903" s="332"/>
      <c r="R1903" s="332"/>
      <c r="S1903" s="332"/>
      <c r="T1903" s="332"/>
    </row>
    <row r="1904" spans="1:20" x14ac:dyDescent="0.6">
      <c r="A1904" s="334"/>
      <c r="B1904" s="610"/>
      <c r="C1904" s="365"/>
      <c r="D1904" s="364"/>
      <c r="E1904" s="363"/>
      <c r="F1904" s="363"/>
      <c r="G1904" s="364"/>
      <c r="H1904" s="363"/>
      <c r="I1904" s="363"/>
      <c r="J1904" s="364"/>
      <c r="K1904" s="363"/>
      <c r="L1904" s="363"/>
      <c r="M1904" s="737"/>
      <c r="N1904" s="332"/>
      <c r="O1904" s="332"/>
      <c r="P1904" s="332"/>
      <c r="Q1904" s="332"/>
      <c r="R1904" s="332"/>
      <c r="S1904" s="332"/>
      <c r="T1904" s="332"/>
    </row>
    <row r="1905" spans="1:20" x14ac:dyDescent="0.6">
      <c r="A1905" s="334"/>
      <c r="B1905" s="610"/>
      <c r="C1905" s="365"/>
      <c r="D1905" s="364"/>
      <c r="E1905" s="363"/>
      <c r="F1905" s="363"/>
      <c r="G1905" s="364"/>
      <c r="H1905" s="363"/>
      <c r="I1905" s="363"/>
      <c r="J1905" s="364"/>
      <c r="K1905" s="363"/>
      <c r="L1905" s="363"/>
      <c r="M1905" s="737"/>
      <c r="N1905" s="332"/>
      <c r="O1905" s="332"/>
      <c r="P1905" s="332"/>
      <c r="Q1905" s="332"/>
      <c r="R1905" s="332"/>
      <c r="S1905" s="332"/>
      <c r="T1905" s="332"/>
    </row>
    <row r="1906" spans="1:20" x14ac:dyDescent="0.6">
      <c r="A1906" s="334"/>
      <c r="B1906" s="610"/>
      <c r="C1906" s="365"/>
      <c r="D1906" s="364"/>
      <c r="E1906" s="363"/>
      <c r="F1906" s="363"/>
      <c r="G1906" s="364"/>
      <c r="H1906" s="363"/>
      <c r="I1906" s="363"/>
      <c r="J1906" s="364"/>
      <c r="K1906" s="363"/>
      <c r="L1906" s="363"/>
      <c r="M1906" s="737"/>
      <c r="N1906" s="332"/>
      <c r="O1906" s="332"/>
      <c r="P1906" s="332"/>
      <c r="Q1906" s="332"/>
      <c r="R1906" s="332"/>
      <c r="S1906" s="332"/>
      <c r="T1906" s="332"/>
    </row>
    <row r="1907" spans="1:20" x14ac:dyDescent="0.6">
      <c r="A1907" s="334"/>
      <c r="B1907" s="610"/>
      <c r="C1907" s="365"/>
      <c r="D1907" s="364"/>
      <c r="E1907" s="363"/>
      <c r="F1907" s="363"/>
      <c r="G1907" s="364"/>
      <c r="H1907" s="363"/>
      <c r="I1907" s="363"/>
      <c r="J1907" s="364"/>
      <c r="K1907" s="363"/>
      <c r="L1907" s="363"/>
      <c r="M1907" s="737"/>
      <c r="N1907" s="332"/>
      <c r="O1907" s="332"/>
      <c r="P1907" s="332"/>
      <c r="Q1907" s="332"/>
      <c r="R1907" s="332"/>
      <c r="S1907" s="332"/>
      <c r="T1907" s="332"/>
    </row>
    <row r="1908" spans="1:20" x14ac:dyDescent="0.6">
      <c r="A1908" s="334"/>
      <c r="B1908" s="610"/>
      <c r="C1908" s="365"/>
      <c r="D1908" s="364"/>
      <c r="E1908" s="363"/>
      <c r="F1908" s="363"/>
      <c r="G1908" s="364"/>
      <c r="H1908" s="363"/>
      <c r="I1908" s="363"/>
      <c r="J1908" s="364"/>
      <c r="K1908" s="363"/>
      <c r="L1908" s="363"/>
      <c r="M1908" s="737"/>
      <c r="N1908" s="332"/>
      <c r="O1908" s="332"/>
      <c r="P1908" s="332"/>
      <c r="Q1908" s="332"/>
      <c r="R1908" s="332"/>
      <c r="S1908" s="332"/>
      <c r="T1908" s="332"/>
    </row>
    <row r="1909" spans="1:20" x14ac:dyDescent="0.6">
      <c r="A1909" s="334"/>
      <c r="B1909" s="610"/>
      <c r="C1909" s="365"/>
      <c r="D1909" s="364"/>
      <c r="E1909" s="363"/>
      <c r="F1909" s="363"/>
      <c r="G1909" s="364"/>
      <c r="H1909" s="363"/>
      <c r="I1909" s="363"/>
      <c r="J1909" s="364"/>
      <c r="K1909" s="363"/>
      <c r="L1909" s="363"/>
      <c r="M1909" s="737"/>
      <c r="N1909" s="332"/>
      <c r="O1909" s="332"/>
      <c r="P1909" s="332"/>
      <c r="Q1909" s="332"/>
      <c r="R1909" s="332"/>
      <c r="S1909" s="332"/>
      <c r="T1909" s="332"/>
    </row>
    <row r="1910" spans="1:20" x14ac:dyDescent="0.6">
      <c r="A1910" s="334"/>
      <c r="B1910" s="610"/>
      <c r="C1910" s="365"/>
      <c r="D1910" s="364"/>
      <c r="E1910" s="363"/>
      <c r="F1910" s="363"/>
      <c r="G1910" s="364"/>
      <c r="H1910" s="363"/>
      <c r="I1910" s="363"/>
      <c r="J1910" s="364"/>
      <c r="K1910" s="363"/>
      <c r="L1910" s="363"/>
      <c r="M1910" s="737"/>
      <c r="N1910" s="332"/>
      <c r="O1910" s="332"/>
      <c r="P1910" s="332"/>
      <c r="Q1910" s="332"/>
      <c r="R1910" s="332"/>
      <c r="S1910" s="332"/>
      <c r="T1910" s="332"/>
    </row>
    <row r="1911" spans="1:20" x14ac:dyDescent="0.6">
      <c r="A1911" s="334"/>
      <c r="B1911" s="610"/>
      <c r="C1911" s="365"/>
      <c r="D1911" s="364"/>
      <c r="E1911" s="363"/>
      <c r="F1911" s="363"/>
      <c r="G1911" s="364"/>
      <c r="H1911" s="363"/>
      <c r="I1911" s="363"/>
      <c r="J1911" s="364"/>
      <c r="K1911" s="363"/>
      <c r="L1911" s="363"/>
      <c r="M1911" s="737"/>
      <c r="N1911" s="332"/>
      <c r="O1911" s="332"/>
      <c r="P1911" s="332"/>
      <c r="Q1911" s="332"/>
      <c r="R1911" s="332"/>
      <c r="S1911" s="332"/>
      <c r="T1911" s="332"/>
    </row>
    <row r="1912" spans="1:20" x14ac:dyDescent="0.6">
      <c r="A1912" s="334"/>
      <c r="B1912" s="610"/>
      <c r="C1912" s="365"/>
      <c r="D1912" s="364"/>
      <c r="E1912" s="363"/>
      <c r="F1912" s="363"/>
      <c r="G1912" s="364"/>
      <c r="H1912" s="363"/>
      <c r="I1912" s="363"/>
      <c r="J1912" s="364"/>
      <c r="K1912" s="363"/>
      <c r="L1912" s="363"/>
      <c r="M1912" s="737"/>
      <c r="N1912" s="332"/>
      <c r="O1912" s="332"/>
      <c r="P1912" s="332"/>
      <c r="Q1912" s="332"/>
      <c r="R1912" s="332"/>
      <c r="S1912" s="332"/>
      <c r="T1912" s="332"/>
    </row>
    <row r="1913" spans="1:20" x14ac:dyDescent="0.6">
      <c r="A1913" s="334"/>
      <c r="B1913" s="610"/>
      <c r="C1913" s="365"/>
      <c r="D1913" s="364"/>
      <c r="E1913" s="363"/>
      <c r="F1913" s="363"/>
      <c r="G1913" s="364"/>
      <c r="H1913" s="363"/>
      <c r="I1913" s="363"/>
      <c r="J1913" s="364"/>
      <c r="K1913" s="363"/>
      <c r="L1913" s="363"/>
      <c r="M1913" s="737"/>
      <c r="N1913" s="332"/>
      <c r="O1913" s="332"/>
      <c r="P1913" s="332"/>
      <c r="Q1913" s="332"/>
      <c r="R1913" s="332"/>
      <c r="S1913" s="332"/>
      <c r="T1913" s="332"/>
    </row>
    <row r="1914" spans="1:20" x14ac:dyDescent="0.6">
      <c r="A1914" s="334"/>
      <c r="B1914" s="610"/>
      <c r="C1914" s="365"/>
      <c r="D1914" s="364"/>
      <c r="E1914" s="363"/>
      <c r="F1914" s="363"/>
      <c r="G1914" s="364"/>
      <c r="H1914" s="363"/>
      <c r="I1914" s="363"/>
      <c r="J1914" s="364"/>
      <c r="K1914" s="363"/>
      <c r="L1914" s="363"/>
      <c r="M1914" s="737"/>
      <c r="N1914" s="332"/>
      <c r="O1914" s="332"/>
      <c r="P1914" s="332"/>
      <c r="Q1914" s="332"/>
      <c r="R1914" s="332"/>
      <c r="S1914" s="332"/>
      <c r="T1914" s="332"/>
    </row>
    <row r="1915" spans="1:20" x14ac:dyDescent="0.6">
      <c r="A1915" s="334"/>
      <c r="B1915" s="610"/>
      <c r="C1915" s="365"/>
      <c r="D1915" s="364"/>
      <c r="E1915" s="363"/>
      <c r="F1915" s="363"/>
      <c r="G1915" s="364"/>
      <c r="H1915" s="363"/>
      <c r="I1915" s="363"/>
      <c r="J1915" s="364"/>
      <c r="K1915" s="363"/>
      <c r="L1915" s="363"/>
      <c r="M1915" s="737"/>
      <c r="N1915" s="332"/>
      <c r="O1915" s="332"/>
      <c r="P1915" s="332"/>
      <c r="Q1915" s="332"/>
      <c r="R1915" s="332"/>
      <c r="S1915" s="332"/>
      <c r="T1915" s="332"/>
    </row>
    <row r="1916" spans="1:20" x14ac:dyDescent="0.6">
      <c r="A1916" s="334"/>
      <c r="B1916" s="610"/>
      <c r="C1916" s="365"/>
      <c r="D1916" s="364"/>
      <c r="E1916" s="363"/>
      <c r="F1916" s="363"/>
      <c r="G1916" s="364"/>
      <c r="H1916" s="363"/>
      <c r="I1916" s="363"/>
      <c r="J1916" s="364"/>
      <c r="K1916" s="363"/>
      <c r="L1916" s="363"/>
      <c r="M1916" s="737"/>
      <c r="N1916" s="332"/>
      <c r="O1916" s="332"/>
      <c r="P1916" s="332"/>
      <c r="Q1916" s="332"/>
      <c r="R1916" s="332"/>
      <c r="S1916" s="332"/>
      <c r="T1916" s="332"/>
    </row>
    <row r="1917" spans="1:20" x14ac:dyDescent="0.6">
      <c r="A1917" s="334"/>
      <c r="B1917" s="610"/>
      <c r="C1917" s="365"/>
      <c r="D1917" s="364"/>
      <c r="E1917" s="363"/>
      <c r="F1917" s="363"/>
      <c r="G1917" s="364"/>
      <c r="H1917" s="363"/>
      <c r="I1917" s="363"/>
      <c r="J1917" s="364"/>
      <c r="K1917" s="363"/>
      <c r="L1917" s="363"/>
      <c r="M1917" s="737"/>
      <c r="N1917" s="332"/>
      <c r="O1917" s="332"/>
      <c r="P1917" s="332"/>
      <c r="Q1917" s="332"/>
      <c r="R1917" s="332"/>
      <c r="S1917" s="332"/>
      <c r="T1917" s="332"/>
    </row>
    <row r="1918" spans="1:20" x14ac:dyDescent="0.6">
      <c r="A1918" s="334"/>
      <c r="B1918" s="610"/>
      <c r="C1918" s="365"/>
      <c r="D1918" s="364"/>
      <c r="E1918" s="363"/>
      <c r="F1918" s="363"/>
      <c r="G1918" s="364"/>
      <c r="H1918" s="363"/>
      <c r="I1918" s="363"/>
      <c r="J1918" s="364"/>
      <c r="K1918" s="363"/>
      <c r="L1918" s="363"/>
      <c r="M1918" s="737"/>
      <c r="N1918" s="332"/>
      <c r="O1918" s="332"/>
      <c r="P1918" s="332"/>
      <c r="Q1918" s="332"/>
      <c r="R1918" s="332"/>
      <c r="S1918" s="332"/>
      <c r="T1918" s="332"/>
    </row>
    <row r="1919" spans="1:20" x14ac:dyDescent="0.6">
      <c r="A1919" s="334"/>
      <c r="B1919" s="610"/>
      <c r="C1919" s="365"/>
      <c r="D1919" s="364"/>
      <c r="E1919" s="363"/>
      <c r="F1919" s="363"/>
      <c r="G1919" s="364"/>
      <c r="H1919" s="363"/>
      <c r="I1919" s="363"/>
      <c r="J1919" s="364"/>
      <c r="K1919" s="363"/>
      <c r="L1919" s="363"/>
      <c r="M1919" s="737"/>
      <c r="N1919" s="332"/>
      <c r="O1919" s="332"/>
      <c r="P1919" s="332"/>
      <c r="Q1919" s="332"/>
      <c r="R1919" s="332"/>
      <c r="S1919" s="332"/>
      <c r="T1919" s="332"/>
    </row>
    <row r="1920" spans="1:20" x14ac:dyDescent="0.6">
      <c r="A1920" s="334"/>
      <c r="B1920" s="610"/>
      <c r="C1920" s="365"/>
      <c r="D1920" s="364"/>
      <c r="E1920" s="363"/>
      <c r="F1920" s="363"/>
      <c r="G1920" s="364"/>
      <c r="H1920" s="363"/>
      <c r="I1920" s="363"/>
      <c r="J1920" s="364"/>
      <c r="K1920" s="363"/>
      <c r="L1920" s="363"/>
      <c r="M1920" s="737"/>
      <c r="N1920" s="332"/>
      <c r="O1920" s="332"/>
      <c r="P1920" s="332"/>
      <c r="Q1920" s="332"/>
      <c r="R1920" s="332"/>
      <c r="S1920" s="332"/>
      <c r="T1920" s="332"/>
    </row>
    <row r="1921" spans="1:20" x14ac:dyDescent="0.6">
      <c r="A1921" s="334"/>
      <c r="B1921" s="610"/>
      <c r="C1921" s="365"/>
      <c r="D1921" s="364"/>
      <c r="E1921" s="363"/>
      <c r="F1921" s="363"/>
      <c r="G1921" s="364"/>
      <c r="H1921" s="363"/>
      <c r="I1921" s="363"/>
      <c r="J1921" s="364"/>
      <c r="K1921" s="363"/>
      <c r="L1921" s="363"/>
      <c r="M1921" s="737"/>
      <c r="N1921" s="332"/>
      <c r="O1921" s="332"/>
      <c r="P1921" s="332"/>
      <c r="Q1921" s="332"/>
      <c r="R1921" s="332"/>
      <c r="S1921" s="332"/>
      <c r="T1921" s="332"/>
    </row>
    <row r="1922" spans="1:20" x14ac:dyDescent="0.6">
      <c r="A1922" s="334"/>
      <c r="B1922" s="610"/>
      <c r="C1922" s="365"/>
      <c r="D1922" s="364"/>
      <c r="E1922" s="363"/>
      <c r="F1922" s="363"/>
      <c r="G1922" s="364"/>
      <c r="H1922" s="363"/>
      <c r="I1922" s="363"/>
      <c r="J1922" s="364"/>
      <c r="K1922" s="363"/>
      <c r="L1922" s="363"/>
      <c r="M1922" s="737"/>
      <c r="N1922" s="332"/>
      <c r="O1922" s="332"/>
      <c r="P1922" s="332"/>
      <c r="Q1922" s="332"/>
      <c r="R1922" s="332"/>
      <c r="S1922" s="332"/>
      <c r="T1922" s="332"/>
    </row>
    <row r="1923" spans="1:20" x14ac:dyDescent="0.6">
      <c r="A1923" s="334"/>
      <c r="B1923" s="610"/>
      <c r="C1923" s="365"/>
      <c r="D1923" s="364"/>
      <c r="E1923" s="363"/>
      <c r="F1923" s="363"/>
      <c r="G1923" s="364"/>
      <c r="H1923" s="363"/>
      <c r="I1923" s="363"/>
      <c r="J1923" s="364"/>
      <c r="K1923" s="363"/>
      <c r="L1923" s="363"/>
      <c r="M1923" s="737"/>
      <c r="N1923" s="332"/>
      <c r="O1923" s="332"/>
      <c r="P1923" s="332"/>
      <c r="Q1923" s="332"/>
      <c r="R1923" s="332"/>
      <c r="S1923" s="332"/>
      <c r="T1923" s="332"/>
    </row>
    <row r="1924" spans="1:20" x14ac:dyDescent="0.6">
      <c r="A1924" s="334"/>
      <c r="B1924" s="610"/>
      <c r="C1924" s="365"/>
      <c r="D1924" s="364"/>
      <c r="E1924" s="363"/>
      <c r="F1924" s="363"/>
      <c r="G1924" s="364"/>
      <c r="H1924" s="363"/>
      <c r="I1924" s="363"/>
      <c r="J1924" s="364"/>
      <c r="K1924" s="363"/>
      <c r="L1924" s="363"/>
      <c r="M1924" s="737"/>
      <c r="N1924" s="332"/>
      <c r="O1924" s="332"/>
      <c r="P1924" s="332"/>
      <c r="Q1924" s="332"/>
      <c r="R1924" s="332"/>
      <c r="S1924" s="332"/>
      <c r="T1924" s="332"/>
    </row>
    <row r="1925" spans="1:20" x14ac:dyDescent="0.6">
      <c r="A1925" s="334"/>
      <c r="B1925" s="610"/>
      <c r="C1925" s="365"/>
      <c r="D1925" s="364"/>
      <c r="E1925" s="363"/>
      <c r="F1925" s="363"/>
      <c r="G1925" s="364"/>
      <c r="H1925" s="363"/>
      <c r="I1925" s="363"/>
      <c r="J1925" s="364"/>
      <c r="K1925" s="363"/>
      <c r="L1925" s="363"/>
      <c r="M1925" s="737"/>
      <c r="N1925" s="332"/>
      <c r="O1925" s="332"/>
      <c r="P1925" s="332"/>
      <c r="Q1925" s="332"/>
      <c r="R1925" s="332"/>
      <c r="S1925" s="332"/>
      <c r="T1925" s="332"/>
    </row>
    <row r="1926" spans="1:20" x14ac:dyDescent="0.6">
      <c r="A1926" s="334"/>
      <c r="B1926" s="610"/>
      <c r="C1926" s="365"/>
      <c r="D1926" s="364"/>
      <c r="E1926" s="363"/>
      <c r="F1926" s="363"/>
      <c r="G1926" s="364"/>
      <c r="H1926" s="363"/>
      <c r="I1926" s="363"/>
      <c r="J1926" s="364"/>
      <c r="K1926" s="363"/>
      <c r="L1926" s="363"/>
      <c r="M1926" s="737"/>
      <c r="N1926" s="332"/>
      <c r="O1926" s="332"/>
      <c r="P1926" s="332"/>
      <c r="Q1926" s="332"/>
      <c r="R1926" s="332"/>
      <c r="S1926" s="332"/>
      <c r="T1926" s="332"/>
    </row>
    <row r="1927" spans="1:20" x14ac:dyDescent="0.6">
      <c r="A1927" s="334"/>
      <c r="B1927" s="610"/>
      <c r="C1927" s="365"/>
      <c r="D1927" s="364"/>
      <c r="E1927" s="363"/>
      <c r="F1927" s="363"/>
      <c r="G1927" s="364"/>
      <c r="H1927" s="363"/>
      <c r="I1927" s="363"/>
      <c r="J1927" s="364"/>
      <c r="K1927" s="363"/>
      <c r="L1927" s="363"/>
      <c r="M1927" s="737"/>
      <c r="N1927" s="332"/>
      <c r="O1927" s="332"/>
      <c r="P1927" s="332"/>
      <c r="Q1927" s="332"/>
      <c r="R1927" s="332"/>
      <c r="S1927" s="332"/>
      <c r="T1927" s="332"/>
    </row>
    <row r="1928" spans="1:20" x14ac:dyDescent="0.6">
      <c r="A1928" s="334"/>
      <c r="B1928" s="610"/>
      <c r="C1928" s="365"/>
      <c r="D1928" s="364"/>
      <c r="E1928" s="363"/>
      <c r="F1928" s="363"/>
      <c r="G1928" s="364"/>
      <c r="H1928" s="363"/>
      <c r="I1928" s="363"/>
      <c r="J1928" s="364"/>
      <c r="K1928" s="363"/>
      <c r="L1928" s="363"/>
      <c r="M1928" s="737"/>
      <c r="N1928" s="332"/>
      <c r="O1928" s="332"/>
      <c r="P1928" s="332"/>
      <c r="Q1928" s="332"/>
      <c r="R1928" s="332"/>
      <c r="S1928" s="332"/>
      <c r="T1928" s="332"/>
    </row>
    <row r="1929" spans="1:20" x14ac:dyDescent="0.6">
      <c r="A1929" s="334"/>
      <c r="B1929" s="610"/>
      <c r="C1929" s="365"/>
      <c r="D1929" s="364"/>
      <c r="E1929" s="363"/>
      <c r="F1929" s="363"/>
      <c r="G1929" s="364"/>
      <c r="H1929" s="363"/>
      <c r="I1929" s="363"/>
      <c r="J1929" s="364"/>
      <c r="K1929" s="363"/>
      <c r="L1929" s="363"/>
      <c r="M1929" s="737"/>
      <c r="N1929" s="332"/>
      <c r="O1929" s="332"/>
      <c r="P1929" s="332"/>
      <c r="Q1929" s="332"/>
      <c r="R1929" s="332"/>
      <c r="S1929" s="332"/>
      <c r="T1929" s="332"/>
    </row>
    <row r="1930" spans="1:20" x14ac:dyDescent="0.6">
      <c r="A1930" s="334"/>
      <c r="B1930" s="610"/>
      <c r="C1930" s="365"/>
      <c r="D1930" s="364"/>
      <c r="E1930" s="363"/>
      <c r="F1930" s="363"/>
      <c r="G1930" s="364"/>
      <c r="H1930" s="363"/>
      <c r="I1930" s="363"/>
      <c r="J1930" s="364"/>
      <c r="K1930" s="363"/>
      <c r="L1930" s="363"/>
      <c r="M1930" s="737"/>
      <c r="N1930" s="332"/>
      <c r="O1930" s="332"/>
      <c r="P1930" s="332"/>
      <c r="Q1930" s="332"/>
      <c r="R1930" s="332"/>
      <c r="S1930" s="332"/>
      <c r="T1930" s="332"/>
    </row>
    <row r="1931" spans="1:20" x14ac:dyDescent="0.6">
      <c r="A1931" s="334"/>
      <c r="B1931" s="610"/>
      <c r="C1931" s="365"/>
      <c r="D1931" s="364"/>
      <c r="E1931" s="363"/>
      <c r="F1931" s="363"/>
      <c r="G1931" s="364"/>
      <c r="H1931" s="363"/>
      <c r="I1931" s="363"/>
      <c r="J1931" s="364"/>
      <c r="K1931" s="363"/>
      <c r="L1931" s="363"/>
      <c r="M1931" s="737"/>
      <c r="N1931" s="332"/>
      <c r="O1931" s="332"/>
      <c r="P1931" s="332"/>
      <c r="Q1931" s="332"/>
      <c r="R1931" s="332"/>
      <c r="S1931" s="332"/>
      <c r="T1931" s="332"/>
    </row>
    <row r="1932" spans="1:20" x14ac:dyDescent="0.6">
      <c r="A1932" s="334"/>
      <c r="B1932" s="610"/>
      <c r="C1932" s="365"/>
      <c r="D1932" s="364"/>
      <c r="E1932" s="363"/>
      <c r="F1932" s="363"/>
      <c r="G1932" s="364"/>
      <c r="H1932" s="363"/>
      <c r="I1932" s="363"/>
      <c r="J1932" s="364"/>
      <c r="K1932" s="363"/>
      <c r="L1932" s="363"/>
      <c r="M1932" s="737"/>
      <c r="N1932" s="332"/>
      <c r="O1932" s="332"/>
      <c r="P1932" s="332"/>
      <c r="Q1932" s="332"/>
      <c r="R1932" s="332"/>
      <c r="S1932" s="332"/>
      <c r="T1932" s="332"/>
    </row>
    <row r="1933" spans="1:20" x14ac:dyDescent="0.6">
      <c r="A1933" s="334"/>
      <c r="B1933" s="610"/>
      <c r="C1933" s="365"/>
      <c r="D1933" s="364"/>
      <c r="E1933" s="363"/>
      <c r="F1933" s="363"/>
      <c r="G1933" s="364"/>
      <c r="H1933" s="363"/>
      <c r="I1933" s="363"/>
      <c r="J1933" s="364"/>
      <c r="K1933" s="363"/>
      <c r="L1933" s="363"/>
      <c r="M1933" s="737"/>
      <c r="N1933" s="332"/>
      <c r="O1933" s="332"/>
      <c r="P1933" s="332"/>
      <c r="Q1933" s="332"/>
      <c r="R1933" s="332"/>
      <c r="S1933" s="332"/>
      <c r="T1933" s="332"/>
    </row>
    <row r="1934" spans="1:20" x14ac:dyDescent="0.6">
      <c r="A1934" s="334"/>
      <c r="B1934" s="610"/>
      <c r="C1934" s="365"/>
      <c r="D1934" s="364"/>
      <c r="E1934" s="363"/>
      <c r="F1934" s="363"/>
      <c r="G1934" s="364"/>
      <c r="H1934" s="363"/>
      <c r="I1934" s="363"/>
      <c r="J1934" s="364"/>
      <c r="K1934" s="363"/>
      <c r="L1934" s="363"/>
      <c r="M1934" s="737"/>
      <c r="N1934" s="332"/>
      <c r="O1934" s="332"/>
      <c r="P1934" s="332"/>
      <c r="Q1934" s="332"/>
      <c r="R1934" s="332"/>
      <c r="S1934" s="332"/>
      <c r="T1934" s="332"/>
    </row>
    <row r="1935" spans="1:20" x14ac:dyDescent="0.6">
      <c r="A1935" s="334"/>
      <c r="B1935" s="610"/>
      <c r="C1935" s="365"/>
      <c r="D1935" s="364"/>
      <c r="E1935" s="363"/>
      <c r="F1935" s="363"/>
      <c r="G1935" s="364"/>
      <c r="H1935" s="363"/>
      <c r="I1935" s="363"/>
      <c r="J1935" s="364"/>
      <c r="K1935" s="363"/>
      <c r="L1935" s="363"/>
      <c r="M1935" s="737"/>
      <c r="N1935" s="332"/>
      <c r="O1935" s="332"/>
      <c r="P1935" s="332"/>
      <c r="Q1935" s="332"/>
      <c r="R1935" s="332"/>
      <c r="S1935" s="332"/>
      <c r="T1935" s="332"/>
    </row>
    <row r="1936" spans="1:20" x14ac:dyDescent="0.6">
      <c r="A1936" s="334"/>
      <c r="B1936" s="610"/>
      <c r="C1936" s="365"/>
      <c r="D1936" s="364"/>
      <c r="E1936" s="363"/>
      <c r="F1936" s="363"/>
      <c r="G1936" s="364"/>
      <c r="H1936" s="363"/>
      <c r="I1936" s="363"/>
      <c r="J1936" s="364"/>
      <c r="K1936" s="363"/>
      <c r="L1936" s="363"/>
      <c r="M1936" s="737"/>
      <c r="N1936" s="332"/>
      <c r="O1936" s="332"/>
      <c r="P1936" s="332"/>
      <c r="Q1936" s="332"/>
      <c r="R1936" s="332"/>
      <c r="S1936" s="332"/>
      <c r="T1936" s="332"/>
    </row>
    <row r="1937" spans="1:20" x14ac:dyDescent="0.6">
      <c r="A1937" s="334"/>
      <c r="B1937" s="610"/>
      <c r="C1937" s="365"/>
      <c r="D1937" s="364"/>
      <c r="E1937" s="363"/>
      <c r="F1937" s="363"/>
      <c r="G1937" s="364"/>
      <c r="H1937" s="363"/>
      <c r="I1937" s="363"/>
      <c r="J1937" s="364"/>
      <c r="K1937" s="363"/>
      <c r="L1937" s="363"/>
      <c r="M1937" s="737"/>
      <c r="N1937" s="332"/>
      <c r="O1937" s="332"/>
      <c r="P1937" s="332"/>
      <c r="Q1937" s="332"/>
      <c r="R1937" s="332"/>
      <c r="S1937" s="332"/>
      <c r="T1937" s="332"/>
    </row>
    <row r="1938" spans="1:20" x14ac:dyDescent="0.6">
      <c r="A1938" s="334"/>
      <c r="B1938" s="610"/>
      <c r="C1938" s="365"/>
      <c r="D1938" s="364"/>
      <c r="E1938" s="363"/>
      <c r="F1938" s="363"/>
      <c r="G1938" s="364"/>
      <c r="H1938" s="363"/>
      <c r="I1938" s="363"/>
      <c r="J1938" s="364"/>
      <c r="K1938" s="363"/>
      <c r="L1938" s="363"/>
      <c r="M1938" s="737"/>
      <c r="N1938" s="332"/>
      <c r="O1938" s="332"/>
      <c r="P1938" s="332"/>
      <c r="Q1938" s="332"/>
      <c r="R1938" s="332"/>
      <c r="S1938" s="332"/>
      <c r="T1938" s="332"/>
    </row>
    <row r="1939" spans="1:20" x14ac:dyDescent="0.6">
      <c r="A1939" s="334"/>
      <c r="B1939" s="610"/>
      <c r="C1939" s="365"/>
      <c r="D1939" s="364"/>
      <c r="E1939" s="363"/>
      <c r="F1939" s="363"/>
      <c r="G1939" s="364"/>
      <c r="H1939" s="363"/>
      <c r="I1939" s="363"/>
      <c r="J1939" s="364"/>
      <c r="K1939" s="363"/>
      <c r="L1939" s="363"/>
      <c r="M1939" s="737"/>
      <c r="N1939" s="332"/>
      <c r="O1939" s="332"/>
      <c r="P1939" s="332"/>
      <c r="Q1939" s="332"/>
      <c r="R1939" s="332"/>
      <c r="S1939" s="332"/>
      <c r="T1939" s="332"/>
    </row>
    <row r="1940" spans="1:20" x14ac:dyDescent="0.6">
      <c r="A1940" s="334"/>
      <c r="B1940" s="610"/>
      <c r="C1940" s="365"/>
      <c r="D1940" s="364"/>
      <c r="E1940" s="363"/>
      <c r="F1940" s="363"/>
      <c r="G1940" s="364"/>
      <c r="H1940" s="363"/>
      <c r="I1940" s="363"/>
      <c r="J1940" s="364"/>
      <c r="K1940" s="363"/>
      <c r="L1940" s="363"/>
      <c r="M1940" s="737"/>
      <c r="N1940" s="332"/>
      <c r="O1940" s="332"/>
      <c r="P1940" s="332"/>
      <c r="Q1940" s="332"/>
      <c r="R1940" s="332"/>
      <c r="S1940" s="332"/>
      <c r="T1940" s="332"/>
    </row>
    <row r="1941" spans="1:20" x14ac:dyDescent="0.6">
      <c r="A1941" s="334"/>
      <c r="B1941" s="610"/>
      <c r="C1941" s="365"/>
      <c r="D1941" s="364"/>
      <c r="E1941" s="363"/>
      <c r="F1941" s="363"/>
      <c r="G1941" s="364"/>
      <c r="H1941" s="363"/>
      <c r="I1941" s="363"/>
      <c r="J1941" s="364"/>
      <c r="K1941" s="363"/>
      <c r="L1941" s="363"/>
      <c r="M1941" s="737"/>
      <c r="N1941" s="332"/>
      <c r="O1941" s="332"/>
      <c r="P1941" s="332"/>
      <c r="Q1941" s="332"/>
      <c r="R1941" s="332"/>
      <c r="S1941" s="332"/>
      <c r="T1941" s="332"/>
    </row>
    <row r="1942" spans="1:20" x14ac:dyDescent="0.6">
      <c r="A1942" s="334"/>
      <c r="B1942" s="610"/>
      <c r="C1942" s="365"/>
      <c r="D1942" s="364"/>
      <c r="E1942" s="363"/>
      <c r="F1942" s="363"/>
      <c r="G1942" s="364"/>
      <c r="H1942" s="363"/>
      <c r="I1942" s="363"/>
      <c r="J1942" s="364"/>
      <c r="K1942" s="363"/>
      <c r="L1942" s="363"/>
      <c r="M1942" s="737"/>
      <c r="N1942" s="332"/>
      <c r="O1942" s="332"/>
      <c r="P1942" s="332"/>
      <c r="Q1942" s="332"/>
      <c r="R1942" s="332"/>
      <c r="S1942" s="332"/>
      <c r="T1942" s="332"/>
    </row>
    <row r="1943" spans="1:20" x14ac:dyDescent="0.6">
      <c r="A1943" s="334"/>
      <c r="B1943" s="610"/>
      <c r="C1943" s="365"/>
      <c r="D1943" s="364"/>
      <c r="E1943" s="363"/>
      <c r="F1943" s="363"/>
      <c r="G1943" s="364"/>
      <c r="H1943" s="363"/>
      <c r="I1943" s="363"/>
      <c r="J1943" s="364"/>
      <c r="K1943" s="363"/>
      <c r="L1943" s="363"/>
      <c r="M1943" s="737"/>
      <c r="N1943" s="332"/>
      <c r="O1943" s="332"/>
      <c r="P1943" s="332"/>
      <c r="Q1943" s="332"/>
      <c r="R1943" s="332"/>
      <c r="S1943" s="332"/>
      <c r="T1943" s="332"/>
    </row>
    <row r="1944" spans="1:20" x14ac:dyDescent="0.6">
      <c r="A1944" s="334"/>
      <c r="B1944" s="610"/>
      <c r="C1944" s="365"/>
      <c r="D1944" s="364"/>
      <c r="E1944" s="363"/>
      <c r="F1944" s="363"/>
      <c r="G1944" s="364"/>
      <c r="H1944" s="363"/>
      <c r="I1944" s="363"/>
      <c r="J1944" s="364"/>
      <c r="K1944" s="363"/>
      <c r="L1944" s="363"/>
      <c r="M1944" s="737"/>
      <c r="N1944" s="332"/>
      <c r="O1944" s="332"/>
      <c r="P1944" s="332"/>
      <c r="Q1944" s="332"/>
      <c r="R1944" s="332"/>
      <c r="S1944" s="332"/>
      <c r="T1944" s="332"/>
    </row>
    <row r="1945" spans="1:20" x14ac:dyDescent="0.6">
      <c r="A1945" s="334"/>
      <c r="B1945" s="610"/>
      <c r="C1945" s="365"/>
      <c r="D1945" s="364"/>
      <c r="E1945" s="363"/>
      <c r="F1945" s="363"/>
      <c r="G1945" s="364"/>
      <c r="H1945" s="363"/>
      <c r="I1945" s="363"/>
      <c r="J1945" s="364"/>
      <c r="K1945" s="363"/>
      <c r="L1945" s="363"/>
      <c r="M1945" s="737"/>
      <c r="N1945" s="332"/>
      <c r="O1945" s="332"/>
      <c r="P1945" s="332"/>
      <c r="Q1945" s="332"/>
      <c r="R1945" s="332"/>
      <c r="S1945" s="332"/>
      <c r="T1945" s="332"/>
    </row>
    <row r="1946" spans="1:20" x14ac:dyDescent="0.6">
      <c r="A1946" s="334"/>
      <c r="B1946" s="610"/>
      <c r="C1946" s="365"/>
      <c r="D1946" s="364"/>
      <c r="E1946" s="363"/>
      <c r="F1946" s="363"/>
      <c r="G1946" s="364"/>
      <c r="H1946" s="363"/>
      <c r="I1946" s="363"/>
      <c r="J1946" s="364"/>
      <c r="K1946" s="363"/>
      <c r="L1946" s="363"/>
      <c r="M1946" s="737"/>
      <c r="N1946" s="332"/>
      <c r="O1946" s="332"/>
      <c r="P1946" s="332"/>
      <c r="Q1946" s="332"/>
      <c r="R1946" s="332"/>
      <c r="S1946" s="332"/>
      <c r="T1946" s="332"/>
    </row>
    <row r="1947" spans="1:20" x14ac:dyDescent="0.6">
      <c r="A1947" s="334"/>
      <c r="B1947" s="610"/>
      <c r="C1947" s="365"/>
      <c r="D1947" s="364"/>
      <c r="E1947" s="363"/>
      <c r="F1947" s="363"/>
      <c r="G1947" s="364"/>
      <c r="H1947" s="363"/>
      <c r="I1947" s="363"/>
      <c r="J1947" s="364"/>
      <c r="K1947" s="363"/>
      <c r="L1947" s="363"/>
      <c r="M1947" s="737"/>
      <c r="N1947" s="332"/>
      <c r="O1947" s="332"/>
      <c r="P1947" s="332"/>
      <c r="Q1947" s="332"/>
      <c r="R1947" s="332"/>
      <c r="S1947" s="332"/>
      <c r="T1947" s="332"/>
    </row>
    <row r="1948" spans="1:20" x14ac:dyDescent="0.6">
      <c r="A1948" s="334"/>
      <c r="B1948" s="610"/>
      <c r="C1948" s="365"/>
      <c r="D1948" s="364"/>
      <c r="E1948" s="363"/>
      <c r="F1948" s="363"/>
      <c r="G1948" s="364"/>
      <c r="H1948" s="363"/>
      <c r="I1948" s="363"/>
      <c r="J1948" s="364"/>
      <c r="K1948" s="363"/>
      <c r="L1948" s="363"/>
      <c r="M1948" s="737"/>
      <c r="N1948" s="332"/>
      <c r="O1948" s="332"/>
      <c r="P1948" s="332"/>
      <c r="Q1948" s="332"/>
      <c r="R1948" s="332"/>
      <c r="S1948" s="332"/>
      <c r="T1948" s="332"/>
    </row>
    <row r="1949" spans="1:20" x14ac:dyDescent="0.6">
      <c r="A1949" s="334"/>
      <c r="B1949" s="610"/>
      <c r="C1949" s="365"/>
      <c r="D1949" s="364"/>
      <c r="E1949" s="363"/>
      <c r="F1949" s="363"/>
      <c r="G1949" s="364"/>
      <c r="H1949" s="363"/>
      <c r="I1949" s="363"/>
      <c r="J1949" s="364"/>
      <c r="K1949" s="363"/>
      <c r="L1949" s="363"/>
      <c r="M1949" s="737"/>
      <c r="N1949" s="332"/>
      <c r="O1949" s="332"/>
      <c r="P1949" s="332"/>
      <c r="Q1949" s="332"/>
      <c r="R1949" s="332"/>
      <c r="S1949" s="332"/>
      <c r="T1949" s="332"/>
    </row>
    <row r="1950" spans="1:20" x14ac:dyDescent="0.6">
      <c r="A1950" s="334"/>
      <c r="B1950" s="610"/>
      <c r="C1950" s="365"/>
      <c r="D1950" s="364"/>
      <c r="E1950" s="363"/>
      <c r="F1950" s="363"/>
      <c r="G1950" s="364"/>
      <c r="H1950" s="363"/>
      <c r="I1950" s="363"/>
      <c r="J1950" s="364"/>
      <c r="K1950" s="363"/>
      <c r="L1950" s="363"/>
      <c r="M1950" s="737"/>
      <c r="N1950" s="332"/>
      <c r="O1950" s="332"/>
      <c r="P1950" s="332"/>
      <c r="Q1950" s="332"/>
      <c r="R1950" s="332"/>
      <c r="S1950" s="332"/>
      <c r="T1950" s="332"/>
    </row>
    <row r="1951" spans="1:20" x14ac:dyDescent="0.6">
      <c r="A1951" s="334"/>
      <c r="B1951" s="610"/>
      <c r="C1951" s="365"/>
      <c r="D1951" s="364"/>
      <c r="E1951" s="363"/>
      <c r="F1951" s="363"/>
      <c r="G1951" s="364"/>
      <c r="H1951" s="363"/>
      <c r="I1951" s="363"/>
      <c r="J1951" s="364"/>
      <c r="K1951" s="363"/>
      <c r="L1951" s="363"/>
      <c r="M1951" s="737"/>
      <c r="N1951" s="332"/>
      <c r="O1951" s="332"/>
      <c r="P1951" s="332"/>
      <c r="Q1951" s="332"/>
      <c r="R1951" s="332"/>
      <c r="S1951" s="332"/>
      <c r="T1951" s="332"/>
    </row>
    <row r="1952" spans="1:20" x14ac:dyDescent="0.6">
      <c r="A1952" s="334"/>
      <c r="B1952" s="610"/>
      <c r="C1952" s="365"/>
      <c r="D1952" s="364"/>
      <c r="E1952" s="363"/>
      <c r="F1952" s="363"/>
      <c r="G1952" s="364"/>
      <c r="H1952" s="363"/>
      <c r="I1952" s="363"/>
      <c r="J1952" s="364"/>
      <c r="K1952" s="363"/>
      <c r="L1952" s="363"/>
      <c r="M1952" s="737"/>
      <c r="N1952" s="332"/>
      <c r="O1952" s="332"/>
      <c r="P1952" s="332"/>
      <c r="Q1952" s="332"/>
      <c r="R1952" s="332"/>
      <c r="S1952" s="332"/>
      <c r="T1952" s="332"/>
    </row>
    <row r="1953" spans="1:20" x14ac:dyDescent="0.6">
      <c r="A1953" s="334"/>
      <c r="B1953" s="610"/>
      <c r="C1953" s="365"/>
      <c r="D1953" s="364"/>
      <c r="E1953" s="363"/>
      <c r="F1953" s="363"/>
      <c r="G1953" s="364"/>
      <c r="H1953" s="363"/>
      <c r="I1953" s="363"/>
      <c r="J1953" s="364"/>
      <c r="K1953" s="363"/>
      <c r="L1953" s="363"/>
      <c r="M1953" s="737"/>
      <c r="N1953" s="332"/>
      <c r="O1953" s="332"/>
      <c r="P1953" s="332"/>
      <c r="Q1953" s="332"/>
      <c r="R1953" s="332"/>
      <c r="S1953" s="332"/>
      <c r="T1953" s="332"/>
    </row>
    <row r="1954" spans="1:20" x14ac:dyDescent="0.6">
      <c r="A1954" s="334"/>
      <c r="B1954" s="610"/>
      <c r="C1954" s="365"/>
      <c r="D1954" s="364"/>
      <c r="E1954" s="363"/>
      <c r="F1954" s="363"/>
      <c r="G1954" s="364"/>
      <c r="H1954" s="363"/>
      <c r="I1954" s="363"/>
      <c r="J1954" s="364"/>
      <c r="K1954" s="363"/>
      <c r="L1954" s="363"/>
      <c r="M1954" s="737"/>
      <c r="N1954" s="332"/>
      <c r="O1954" s="332"/>
      <c r="P1954" s="332"/>
      <c r="Q1954" s="332"/>
      <c r="R1954" s="332"/>
      <c r="S1954" s="332"/>
      <c r="T1954" s="332"/>
    </row>
    <row r="1955" spans="1:20" x14ac:dyDescent="0.6">
      <c r="A1955" s="334"/>
      <c r="B1955" s="610"/>
      <c r="C1955" s="365"/>
      <c r="D1955" s="364"/>
      <c r="E1955" s="363"/>
      <c r="F1955" s="363"/>
      <c r="G1955" s="364"/>
      <c r="H1955" s="363"/>
      <c r="I1955" s="363"/>
      <c r="J1955" s="364"/>
      <c r="K1955" s="363"/>
      <c r="L1955" s="363"/>
      <c r="M1955" s="737"/>
      <c r="N1955" s="332"/>
      <c r="O1955" s="332"/>
      <c r="P1955" s="332"/>
      <c r="Q1955" s="332"/>
      <c r="R1955" s="332"/>
      <c r="S1955" s="332"/>
      <c r="T1955" s="332"/>
    </row>
    <row r="1956" spans="1:20" x14ac:dyDescent="0.6">
      <c r="A1956" s="334"/>
      <c r="B1956" s="610"/>
      <c r="C1956" s="365"/>
      <c r="D1956" s="364"/>
      <c r="E1956" s="363"/>
      <c r="F1956" s="363"/>
      <c r="G1956" s="364"/>
      <c r="H1956" s="363"/>
      <c r="I1956" s="363"/>
      <c r="J1956" s="364"/>
      <c r="K1956" s="363"/>
      <c r="L1956" s="363"/>
      <c r="M1956" s="737"/>
      <c r="N1956" s="332"/>
      <c r="O1956" s="332"/>
      <c r="P1956" s="332"/>
      <c r="Q1956" s="332"/>
      <c r="R1956" s="332"/>
      <c r="S1956" s="332"/>
      <c r="T1956" s="332"/>
    </row>
    <row r="1957" spans="1:20" x14ac:dyDescent="0.6">
      <c r="A1957" s="334"/>
      <c r="B1957" s="610"/>
      <c r="C1957" s="365"/>
      <c r="D1957" s="364"/>
      <c r="E1957" s="363"/>
      <c r="F1957" s="363"/>
      <c r="G1957" s="364"/>
      <c r="H1957" s="363"/>
      <c r="I1957" s="363"/>
      <c r="J1957" s="364"/>
      <c r="K1957" s="363"/>
      <c r="L1957" s="363"/>
      <c r="M1957" s="737"/>
      <c r="N1957" s="332"/>
      <c r="O1957" s="332"/>
      <c r="P1957" s="332"/>
      <c r="Q1957" s="332"/>
      <c r="R1957" s="332"/>
      <c r="S1957" s="332"/>
      <c r="T1957" s="332"/>
    </row>
    <row r="1958" spans="1:20" x14ac:dyDescent="0.6">
      <c r="A1958" s="334"/>
      <c r="B1958" s="610"/>
      <c r="C1958" s="365"/>
      <c r="D1958" s="364"/>
      <c r="E1958" s="363"/>
      <c r="F1958" s="363"/>
      <c r="G1958" s="364"/>
      <c r="H1958" s="363"/>
      <c r="I1958" s="363"/>
      <c r="J1958" s="364"/>
      <c r="K1958" s="363"/>
      <c r="L1958" s="363"/>
      <c r="M1958" s="737"/>
      <c r="N1958" s="332"/>
      <c r="O1958" s="332"/>
      <c r="P1958" s="332"/>
      <c r="Q1958" s="332"/>
      <c r="R1958" s="332"/>
      <c r="S1958" s="332"/>
      <c r="T1958" s="332"/>
    </row>
    <row r="1959" spans="1:20" x14ac:dyDescent="0.6">
      <c r="A1959" s="334"/>
      <c r="B1959" s="610"/>
      <c r="C1959" s="365"/>
      <c r="D1959" s="364"/>
      <c r="E1959" s="363"/>
      <c r="F1959" s="363"/>
      <c r="G1959" s="364"/>
      <c r="H1959" s="363"/>
      <c r="I1959" s="363"/>
      <c r="J1959" s="364"/>
      <c r="K1959" s="363"/>
      <c r="L1959" s="363"/>
      <c r="M1959" s="737"/>
      <c r="N1959" s="332"/>
      <c r="O1959" s="332"/>
      <c r="P1959" s="332"/>
      <c r="Q1959" s="332"/>
      <c r="R1959" s="332"/>
      <c r="S1959" s="332"/>
      <c r="T1959" s="332"/>
    </row>
    <row r="1960" spans="1:20" x14ac:dyDescent="0.6">
      <c r="A1960" s="334"/>
      <c r="B1960" s="610"/>
      <c r="C1960" s="365"/>
      <c r="D1960" s="364"/>
      <c r="E1960" s="363"/>
      <c r="F1960" s="363"/>
      <c r="G1960" s="364"/>
      <c r="H1960" s="363"/>
      <c r="I1960" s="363"/>
      <c r="J1960" s="364"/>
      <c r="K1960" s="363"/>
      <c r="L1960" s="363"/>
      <c r="M1960" s="737"/>
      <c r="N1960" s="332"/>
      <c r="O1960" s="332"/>
      <c r="P1960" s="332"/>
      <c r="Q1960" s="332"/>
      <c r="R1960" s="332"/>
      <c r="S1960" s="332"/>
      <c r="T1960" s="332"/>
    </row>
    <row r="1961" spans="1:20" x14ac:dyDescent="0.6">
      <c r="A1961" s="334"/>
      <c r="B1961" s="610"/>
      <c r="C1961" s="365"/>
      <c r="D1961" s="364"/>
      <c r="E1961" s="363"/>
      <c r="F1961" s="363"/>
      <c r="G1961" s="364"/>
      <c r="H1961" s="363"/>
      <c r="I1961" s="363"/>
      <c r="J1961" s="364"/>
      <c r="K1961" s="363"/>
      <c r="L1961" s="363"/>
      <c r="M1961" s="737"/>
      <c r="N1961" s="332"/>
      <c r="O1961" s="332"/>
      <c r="P1961" s="332"/>
      <c r="Q1961" s="332"/>
      <c r="R1961" s="332"/>
      <c r="S1961" s="332"/>
      <c r="T1961" s="332"/>
    </row>
    <row r="1962" spans="1:20" x14ac:dyDescent="0.6">
      <c r="A1962" s="334"/>
      <c r="B1962" s="610"/>
      <c r="C1962" s="365"/>
      <c r="D1962" s="364"/>
      <c r="E1962" s="363"/>
      <c r="F1962" s="363"/>
      <c r="G1962" s="364"/>
      <c r="H1962" s="363"/>
      <c r="I1962" s="363"/>
      <c r="J1962" s="364"/>
      <c r="K1962" s="363"/>
      <c r="L1962" s="363"/>
      <c r="M1962" s="737"/>
      <c r="N1962" s="332"/>
      <c r="O1962" s="332"/>
      <c r="P1962" s="332"/>
      <c r="Q1962" s="332"/>
      <c r="R1962" s="332"/>
      <c r="S1962" s="332"/>
      <c r="T1962" s="332"/>
    </row>
    <row r="1963" spans="1:20" x14ac:dyDescent="0.6">
      <c r="A1963" s="334"/>
      <c r="B1963" s="610"/>
      <c r="C1963" s="365"/>
      <c r="D1963" s="364"/>
      <c r="E1963" s="363"/>
      <c r="F1963" s="363"/>
      <c r="G1963" s="364"/>
      <c r="H1963" s="363"/>
      <c r="I1963" s="363"/>
      <c r="J1963" s="364"/>
      <c r="K1963" s="363"/>
      <c r="L1963" s="363"/>
      <c r="M1963" s="737"/>
      <c r="N1963" s="332"/>
      <c r="O1963" s="332"/>
      <c r="P1963" s="332"/>
      <c r="Q1963" s="332"/>
      <c r="R1963" s="332"/>
      <c r="S1963" s="332"/>
      <c r="T1963" s="332"/>
    </row>
    <row r="1964" spans="1:20" x14ac:dyDescent="0.6">
      <c r="A1964" s="334"/>
      <c r="B1964" s="610"/>
      <c r="C1964" s="365"/>
      <c r="D1964" s="364"/>
      <c r="E1964" s="363"/>
      <c r="F1964" s="363"/>
      <c r="G1964" s="364"/>
      <c r="H1964" s="363"/>
      <c r="I1964" s="363"/>
      <c r="J1964" s="364"/>
      <c r="K1964" s="363"/>
      <c r="L1964" s="363"/>
      <c r="M1964" s="737"/>
      <c r="N1964" s="332"/>
      <c r="O1964" s="332"/>
      <c r="P1964" s="332"/>
      <c r="Q1964" s="332"/>
      <c r="R1964" s="332"/>
      <c r="S1964" s="332"/>
      <c r="T1964" s="332"/>
    </row>
    <row r="1965" spans="1:20" x14ac:dyDescent="0.6">
      <c r="A1965" s="334"/>
      <c r="B1965" s="610"/>
      <c r="C1965" s="365"/>
      <c r="D1965" s="364"/>
      <c r="E1965" s="363"/>
      <c r="F1965" s="363"/>
      <c r="G1965" s="364"/>
      <c r="H1965" s="363"/>
      <c r="I1965" s="363"/>
      <c r="J1965" s="364"/>
      <c r="K1965" s="363"/>
      <c r="L1965" s="363"/>
      <c r="M1965" s="737"/>
      <c r="N1965" s="332"/>
      <c r="O1965" s="332"/>
      <c r="P1965" s="332"/>
      <c r="Q1965" s="332"/>
      <c r="R1965" s="332"/>
      <c r="S1965" s="332"/>
      <c r="T1965" s="332"/>
    </row>
    <row r="1966" spans="1:20" x14ac:dyDescent="0.6">
      <c r="A1966" s="334"/>
      <c r="B1966" s="610"/>
      <c r="C1966" s="365"/>
      <c r="D1966" s="364"/>
      <c r="E1966" s="363"/>
      <c r="F1966" s="363"/>
      <c r="G1966" s="364"/>
      <c r="H1966" s="363"/>
      <c r="I1966" s="363"/>
      <c r="J1966" s="364"/>
      <c r="K1966" s="363"/>
      <c r="L1966" s="363"/>
      <c r="M1966" s="737"/>
      <c r="N1966" s="332"/>
      <c r="O1966" s="332"/>
      <c r="P1966" s="332"/>
      <c r="Q1966" s="332"/>
      <c r="R1966" s="332"/>
      <c r="S1966" s="332"/>
      <c r="T1966" s="332"/>
    </row>
    <row r="1967" spans="1:20" x14ac:dyDescent="0.6">
      <c r="A1967" s="334"/>
      <c r="B1967" s="610"/>
      <c r="C1967" s="365"/>
      <c r="D1967" s="364"/>
      <c r="E1967" s="363"/>
      <c r="F1967" s="363"/>
      <c r="G1967" s="364"/>
      <c r="H1967" s="363"/>
      <c r="I1967" s="363"/>
      <c r="J1967" s="364"/>
      <c r="K1967" s="363"/>
      <c r="L1967" s="363"/>
      <c r="M1967" s="737"/>
      <c r="N1967" s="332"/>
      <c r="O1967" s="332"/>
      <c r="P1967" s="332"/>
      <c r="Q1967" s="332"/>
      <c r="R1967" s="332"/>
      <c r="S1967" s="332"/>
      <c r="T1967" s="332"/>
    </row>
    <row r="1968" spans="1:20" x14ac:dyDescent="0.6">
      <c r="A1968" s="334"/>
      <c r="B1968" s="610"/>
      <c r="C1968" s="365"/>
      <c r="D1968" s="364"/>
      <c r="E1968" s="363"/>
      <c r="F1968" s="363"/>
      <c r="G1968" s="364"/>
      <c r="H1968" s="363"/>
      <c r="I1968" s="363"/>
      <c r="J1968" s="364"/>
      <c r="K1968" s="363"/>
      <c r="L1968" s="363"/>
      <c r="M1968" s="737"/>
      <c r="N1968" s="332"/>
      <c r="O1968" s="332"/>
      <c r="P1968" s="332"/>
      <c r="Q1968" s="332"/>
      <c r="R1968" s="332"/>
      <c r="S1968" s="332"/>
      <c r="T1968" s="332"/>
    </row>
    <row r="1969" spans="1:20" x14ac:dyDescent="0.6">
      <c r="A1969" s="334"/>
      <c r="B1969" s="610"/>
      <c r="C1969" s="365"/>
      <c r="D1969" s="364"/>
      <c r="E1969" s="363"/>
      <c r="F1969" s="363"/>
      <c r="G1969" s="364"/>
      <c r="H1969" s="363"/>
      <c r="I1969" s="363"/>
      <c r="J1969" s="364"/>
      <c r="K1969" s="363"/>
      <c r="L1969" s="363"/>
      <c r="M1969" s="737"/>
      <c r="N1969" s="332"/>
      <c r="O1969" s="332"/>
      <c r="P1969" s="332"/>
      <c r="Q1969" s="332"/>
      <c r="R1969" s="332"/>
      <c r="S1969" s="332"/>
      <c r="T1969" s="332"/>
    </row>
    <row r="1970" spans="1:20" x14ac:dyDescent="0.6">
      <c r="A1970" s="334"/>
      <c r="B1970" s="610"/>
      <c r="C1970" s="365"/>
      <c r="D1970" s="364"/>
      <c r="E1970" s="363"/>
      <c r="F1970" s="363"/>
      <c r="G1970" s="364"/>
      <c r="H1970" s="363"/>
      <c r="I1970" s="363"/>
      <c r="J1970" s="364"/>
      <c r="K1970" s="363"/>
      <c r="L1970" s="363"/>
      <c r="M1970" s="737"/>
      <c r="N1970" s="332"/>
      <c r="O1970" s="332"/>
      <c r="P1970" s="332"/>
      <c r="Q1970" s="332"/>
      <c r="R1970" s="332"/>
      <c r="S1970" s="332"/>
      <c r="T1970" s="332"/>
    </row>
    <row r="1971" spans="1:20" x14ac:dyDescent="0.6">
      <c r="A1971" s="334"/>
      <c r="B1971" s="610"/>
      <c r="C1971" s="365"/>
      <c r="D1971" s="364"/>
      <c r="E1971" s="363"/>
      <c r="F1971" s="363"/>
      <c r="G1971" s="364"/>
      <c r="H1971" s="363"/>
      <c r="I1971" s="363"/>
      <c r="J1971" s="364"/>
      <c r="K1971" s="363"/>
      <c r="L1971" s="363"/>
      <c r="M1971" s="737"/>
      <c r="N1971" s="332"/>
      <c r="O1971" s="332"/>
      <c r="P1971" s="332"/>
      <c r="Q1971" s="332"/>
      <c r="R1971" s="332"/>
      <c r="S1971" s="332"/>
      <c r="T1971" s="332"/>
    </row>
    <row r="1972" spans="1:20" x14ac:dyDescent="0.6">
      <c r="A1972" s="334"/>
      <c r="B1972" s="610"/>
      <c r="C1972" s="365"/>
      <c r="D1972" s="364"/>
      <c r="E1972" s="363"/>
      <c r="F1972" s="363"/>
      <c r="G1972" s="364"/>
      <c r="H1972" s="363"/>
      <c r="I1972" s="363"/>
      <c r="J1972" s="364"/>
      <c r="K1972" s="363"/>
      <c r="L1972" s="363"/>
      <c r="M1972" s="737"/>
      <c r="N1972" s="332"/>
      <c r="O1972" s="332"/>
      <c r="P1972" s="332"/>
      <c r="Q1972" s="332"/>
      <c r="R1972" s="332"/>
      <c r="S1972" s="332"/>
      <c r="T1972" s="332"/>
    </row>
    <row r="1973" spans="1:20" x14ac:dyDescent="0.6">
      <c r="A1973" s="334"/>
      <c r="B1973" s="610"/>
      <c r="C1973" s="365"/>
      <c r="D1973" s="364"/>
      <c r="E1973" s="363"/>
      <c r="F1973" s="363"/>
      <c r="G1973" s="364"/>
      <c r="H1973" s="363"/>
      <c r="I1973" s="363"/>
      <c r="J1973" s="364"/>
      <c r="K1973" s="363"/>
      <c r="L1973" s="363"/>
      <c r="M1973" s="737"/>
      <c r="N1973" s="332"/>
      <c r="O1973" s="332"/>
      <c r="P1973" s="332"/>
      <c r="Q1973" s="332"/>
      <c r="R1973" s="332"/>
      <c r="S1973" s="332"/>
      <c r="T1973" s="332"/>
    </row>
    <row r="1974" spans="1:20" x14ac:dyDescent="0.6">
      <c r="A1974" s="334"/>
      <c r="B1974" s="610"/>
      <c r="C1974" s="365"/>
      <c r="D1974" s="364"/>
      <c r="E1974" s="363"/>
      <c r="F1974" s="363"/>
      <c r="G1974" s="364"/>
      <c r="H1974" s="363"/>
      <c r="I1974" s="363"/>
      <c r="J1974" s="364"/>
      <c r="K1974" s="363"/>
      <c r="L1974" s="363"/>
      <c r="M1974" s="737"/>
      <c r="N1974" s="332"/>
      <c r="O1974" s="332"/>
      <c r="P1974" s="332"/>
      <c r="Q1974" s="332"/>
      <c r="R1974" s="332"/>
      <c r="S1974" s="332"/>
      <c r="T1974" s="332"/>
    </row>
    <row r="1975" spans="1:20" x14ac:dyDescent="0.6">
      <c r="A1975" s="334"/>
      <c r="B1975" s="610"/>
      <c r="C1975" s="365"/>
      <c r="D1975" s="364"/>
      <c r="E1975" s="363"/>
      <c r="F1975" s="363"/>
      <c r="G1975" s="364"/>
      <c r="H1975" s="363"/>
      <c r="I1975" s="363"/>
      <c r="J1975" s="364"/>
      <c r="K1975" s="363"/>
      <c r="L1975" s="363"/>
      <c r="M1975" s="737"/>
      <c r="N1975" s="332"/>
      <c r="O1975" s="332"/>
      <c r="P1975" s="332"/>
      <c r="Q1975" s="332"/>
      <c r="R1975" s="332"/>
      <c r="S1975" s="332"/>
      <c r="T1975" s="332"/>
    </row>
    <row r="1976" spans="1:20" x14ac:dyDescent="0.6">
      <c r="A1976" s="334"/>
      <c r="B1976" s="610"/>
      <c r="C1976" s="365"/>
      <c r="D1976" s="364"/>
      <c r="E1976" s="363"/>
      <c r="F1976" s="363"/>
      <c r="G1976" s="364"/>
      <c r="H1976" s="363"/>
      <c r="I1976" s="363"/>
      <c r="J1976" s="364"/>
      <c r="K1976" s="363"/>
      <c r="L1976" s="363"/>
      <c r="M1976" s="737"/>
      <c r="N1976" s="332"/>
      <c r="O1976" s="332"/>
      <c r="P1976" s="332"/>
      <c r="Q1976" s="332"/>
      <c r="R1976" s="332"/>
      <c r="S1976" s="332"/>
      <c r="T1976" s="332"/>
    </row>
    <row r="1977" spans="1:20" x14ac:dyDescent="0.6">
      <c r="A1977" s="334"/>
      <c r="B1977" s="610"/>
      <c r="C1977" s="365"/>
      <c r="D1977" s="364"/>
      <c r="E1977" s="363"/>
      <c r="F1977" s="363"/>
      <c r="G1977" s="364"/>
      <c r="H1977" s="363"/>
      <c r="I1977" s="363"/>
      <c r="J1977" s="364"/>
      <c r="K1977" s="363"/>
      <c r="L1977" s="363"/>
      <c r="M1977" s="737"/>
      <c r="N1977" s="332"/>
      <c r="O1977" s="332"/>
      <c r="P1977" s="332"/>
      <c r="Q1977" s="332"/>
      <c r="R1977" s="332"/>
      <c r="S1977" s="332"/>
      <c r="T1977" s="332"/>
    </row>
    <row r="1978" spans="1:20" x14ac:dyDescent="0.6">
      <c r="A1978" s="334"/>
      <c r="B1978" s="610"/>
      <c r="C1978" s="365"/>
      <c r="D1978" s="364"/>
      <c r="E1978" s="363"/>
      <c r="F1978" s="363"/>
      <c r="G1978" s="364"/>
      <c r="H1978" s="363"/>
      <c r="I1978" s="363"/>
      <c r="J1978" s="364"/>
      <c r="K1978" s="363"/>
      <c r="L1978" s="363"/>
      <c r="M1978" s="737"/>
      <c r="N1978" s="332"/>
      <c r="O1978" s="332"/>
      <c r="P1978" s="332"/>
      <c r="Q1978" s="332"/>
      <c r="R1978" s="332"/>
      <c r="S1978" s="332"/>
      <c r="T1978" s="332"/>
    </row>
    <row r="1979" spans="1:20" x14ac:dyDescent="0.6">
      <c r="A1979" s="334"/>
      <c r="B1979" s="610"/>
      <c r="C1979" s="365"/>
      <c r="D1979" s="364"/>
      <c r="E1979" s="363"/>
      <c r="F1979" s="363"/>
      <c r="G1979" s="364"/>
      <c r="H1979" s="363"/>
      <c r="I1979" s="363"/>
      <c r="J1979" s="364"/>
      <c r="K1979" s="363"/>
      <c r="L1979" s="363"/>
      <c r="M1979" s="737"/>
      <c r="N1979" s="332"/>
      <c r="O1979" s="332"/>
      <c r="P1979" s="332"/>
      <c r="Q1979" s="332"/>
      <c r="R1979" s="332"/>
      <c r="S1979" s="332"/>
      <c r="T1979" s="332"/>
    </row>
    <row r="1980" spans="1:20" x14ac:dyDescent="0.6">
      <c r="A1980" s="334"/>
      <c r="B1980" s="610"/>
      <c r="C1980" s="365"/>
      <c r="D1980" s="364"/>
      <c r="E1980" s="363"/>
      <c r="F1980" s="363"/>
      <c r="G1980" s="364"/>
      <c r="H1980" s="363"/>
      <c r="I1980" s="363"/>
      <c r="J1980" s="364"/>
      <c r="K1980" s="363"/>
      <c r="L1980" s="363"/>
      <c r="M1980" s="737"/>
      <c r="N1980" s="332"/>
      <c r="O1980" s="332"/>
      <c r="P1980" s="332"/>
      <c r="Q1980" s="332"/>
      <c r="R1980" s="332"/>
      <c r="S1980" s="332"/>
      <c r="T1980" s="332"/>
    </row>
    <row r="1981" spans="1:20" x14ac:dyDescent="0.6">
      <c r="A1981" s="334"/>
      <c r="B1981" s="610"/>
      <c r="C1981" s="365"/>
      <c r="D1981" s="364"/>
      <c r="E1981" s="363"/>
      <c r="F1981" s="363"/>
      <c r="G1981" s="364"/>
      <c r="H1981" s="363"/>
      <c r="I1981" s="363"/>
      <c r="J1981" s="364"/>
      <c r="K1981" s="363"/>
      <c r="L1981" s="363"/>
      <c r="M1981" s="737"/>
      <c r="N1981" s="332"/>
      <c r="O1981" s="332"/>
      <c r="P1981" s="332"/>
      <c r="Q1981" s="332"/>
      <c r="R1981" s="332"/>
      <c r="S1981" s="332"/>
      <c r="T1981" s="332"/>
    </row>
    <row r="1982" spans="1:20" x14ac:dyDescent="0.6">
      <c r="A1982" s="334"/>
      <c r="B1982" s="610"/>
      <c r="C1982" s="365"/>
      <c r="D1982" s="364"/>
      <c r="E1982" s="363"/>
      <c r="F1982" s="363"/>
      <c r="G1982" s="364"/>
      <c r="H1982" s="363"/>
      <c r="I1982" s="363"/>
      <c r="J1982" s="364"/>
      <c r="K1982" s="363"/>
      <c r="L1982" s="363"/>
      <c r="M1982" s="737"/>
      <c r="N1982" s="332"/>
      <c r="O1982" s="332"/>
      <c r="P1982" s="332"/>
      <c r="Q1982" s="332"/>
      <c r="R1982" s="332"/>
      <c r="S1982" s="332"/>
      <c r="T1982" s="332"/>
    </row>
    <row r="1983" spans="1:20" x14ac:dyDescent="0.6">
      <c r="A1983" s="334"/>
      <c r="B1983" s="610"/>
      <c r="C1983" s="365"/>
      <c r="D1983" s="364"/>
      <c r="E1983" s="363"/>
      <c r="F1983" s="363"/>
      <c r="G1983" s="364"/>
      <c r="H1983" s="363"/>
      <c r="I1983" s="363"/>
      <c r="J1983" s="364"/>
      <c r="K1983" s="363"/>
      <c r="L1983" s="363"/>
      <c r="M1983" s="737"/>
      <c r="N1983" s="332"/>
      <c r="O1983" s="332"/>
      <c r="P1983" s="332"/>
      <c r="Q1983" s="332"/>
      <c r="R1983" s="332"/>
      <c r="S1983" s="332"/>
      <c r="T1983" s="332"/>
    </row>
    <row r="1984" spans="1:20" x14ac:dyDescent="0.6">
      <c r="A1984" s="334"/>
      <c r="B1984" s="610"/>
      <c r="C1984" s="365"/>
      <c r="D1984" s="364"/>
      <c r="E1984" s="363"/>
      <c r="F1984" s="363"/>
      <c r="G1984" s="364"/>
      <c r="H1984" s="363"/>
      <c r="I1984" s="363"/>
      <c r="J1984" s="364"/>
      <c r="K1984" s="363"/>
      <c r="L1984" s="363"/>
      <c r="M1984" s="737"/>
      <c r="N1984" s="332"/>
      <c r="O1984" s="332"/>
      <c r="P1984" s="332"/>
      <c r="Q1984" s="332"/>
      <c r="R1984" s="332"/>
      <c r="S1984" s="332"/>
      <c r="T1984" s="332"/>
    </row>
    <row r="1985" spans="1:20" x14ac:dyDescent="0.6">
      <c r="A1985" s="334"/>
      <c r="B1985" s="610"/>
      <c r="C1985" s="365"/>
      <c r="D1985" s="364"/>
      <c r="E1985" s="363"/>
      <c r="F1985" s="363"/>
      <c r="G1985" s="364"/>
      <c r="H1985" s="363"/>
      <c r="I1985" s="363"/>
      <c r="J1985" s="364"/>
      <c r="K1985" s="363"/>
      <c r="L1985" s="363"/>
      <c r="M1985" s="737"/>
      <c r="N1985" s="332"/>
      <c r="O1985" s="332"/>
      <c r="P1985" s="332"/>
      <c r="Q1985" s="332"/>
      <c r="R1985" s="332"/>
      <c r="S1985" s="332"/>
      <c r="T1985" s="332"/>
    </row>
    <row r="1986" spans="1:20" x14ac:dyDescent="0.6">
      <c r="A1986" s="334"/>
      <c r="B1986" s="610"/>
      <c r="C1986" s="365"/>
      <c r="D1986" s="364"/>
      <c r="E1986" s="363"/>
      <c r="F1986" s="363"/>
      <c r="G1986" s="364"/>
      <c r="H1986" s="363"/>
      <c r="I1986" s="363"/>
      <c r="J1986" s="364"/>
      <c r="K1986" s="363"/>
      <c r="L1986" s="363"/>
      <c r="M1986" s="737"/>
      <c r="N1986" s="332"/>
      <c r="O1986" s="332"/>
      <c r="P1986" s="332"/>
      <c r="Q1986" s="332"/>
      <c r="R1986" s="332"/>
      <c r="S1986" s="332"/>
      <c r="T1986" s="332"/>
    </row>
    <row r="1987" spans="1:20" x14ac:dyDescent="0.6">
      <c r="A1987" s="334"/>
      <c r="B1987" s="610"/>
      <c r="C1987" s="365"/>
      <c r="D1987" s="364"/>
      <c r="E1987" s="363"/>
      <c r="F1987" s="363"/>
      <c r="G1987" s="364"/>
      <c r="H1987" s="363"/>
      <c r="I1987" s="363"/>
      <c r="J1987" s="364"/>
      <c r="K1987" s="363"/>
      <c r="L1987" s="363"/>
      <c r="M1987" s="737"/>
      <c r="N1987" s="332"/>
      <c r="O1987" s="332"/>
      <c r="P1987" s="332"/>
      <c r="Q1987" s="332"/>
      <c r="R1987" s="332"/>
      <c r="S1987" s="332"/>
      <c r="T1987" s="332"/>
    </row>
    <row r="1988" spans="1:20" x14ac:dyDescent="0.6">
      <c r="A1988" s="334"/>
      <c r="B1988" s="610"/>
      <c r="C1988" s="365"/>
      <c r="D1988" s="364"/>
      <c r="E1988" s="363"/>
      <c r="F1988" s="363"/>
      <c r="G1988" s="364"/>
      <c r="H1988" s="363"/>
      <c r="I1988" s="363"/>
      <c r="J1988" s="364"/>
      <c r="K1988" s="363"/>
      <c r="L1988" s="363"/>
      <c r="M1988" s="737"/>
      <c r="N1988" s="332"/>
      <c r="O1988" s="332"/>
      <c r="P1988" s="332"/>
      <c r="Q1988" s="332"/>
      <c r="R1988" s="332"/>
      <c r="S1988" s="332"/>
      <c r="T1988" s="332"/>
    </row>
    <row r="1989" spans="1:20" x14ac:dyDescent="0.6">
      <c r="A1989" s="334"/>
      <c r="B1989" s="610"/>
      <c r="C1989" s="365"/>
      <c r="D1989" s="364"/>
      <c r="E1989" s="363"/>
      <c r="F1989" s="363"/>
      <c r="G1989" s="364"/>
      <c r="H1989" s="363"/>
      <c r="I1989" s="363"/>
      <c r="J1989" s="364"/>
      <c r="K1989" s="363"/>
      <c r="L1989" s="363"/>
      <c r="M1989" s="737"/>
      <c r="N1989" s="332"/>
      <c r="O1989" s="332"/>
      <c r="P1989" s="332"/>
      <c r="Q1989" s="332"/>
      <c r="R1989" s="332"/>
      <c r="S1989" s="332"/>
      <c r="T1989" s="332"/>
    </row>
    <row r="1990" spans="1:20" x14ac:dyDescent="0.6">
      <c r="A1990" s="334"/>
      <c r="B1990" s="610"/>
      <c r="C1990" s="365"/>
      <c r="D1990" s="364"/>
      <c r="E1990" s="363"/>
      <c r="F1990" s="363"/>
      <c r="G1990" s="364"/>
      <c r="H1990" s="363"/>
      <c r="I1990" s="363"/>
      <c r="J1990" s="364"/>
      <c r="K1990" s="363"/>
      <c r="L1990" s="363"/>
      <c r="M1990" s="737"/>
      <c r="N1990" s="332"/>
      <c r="O1990" s="332"/>
      <c r="P1990" s="332"/>
      <c r="Q1990" s="332"/>
      <c r="R1990" s="332"/>
      <c r="S1990" s="332"/>
      <c r="T1990" s="332"/>
    </row>
    <row r="1991" spans="1:20" x14ac:dyDescent="0.6">
      <c r="A1991" s="334"/>
      <c r="B1991" s="610"/>
      <c r="C1991" s="365"/>
      <c r="D1991" s="364"/>
      <c r="E1991" s="363"/>
      <c r="F1991" s="363"/>
      <c r="G1991" s="364"/>
      <c r="H1991" s="363"/>
      <c r="I1991" s="363"/>
      <c r="J1991" s="364"/>
      <c r="K1991" s="363"/>
      <c r="L1991" s="363"/>
      <c r="M1991" s="737"/>
      <c r="N1991" s="332"/>
      <c r="O1991" s="332"/>
      <c r="P1991" s="332"/>
      <c r="Q1991" s="332"/>
      <c r="R1991" s="332"/>
      <c r="S1991" s="332"/>
      <c r="T1991" s="332"/>
    </row>
    <row r="1992" spans="1:20" x14ac:dyDescent="0.6">
      <c r="A1992" s="334"/>
      <c r="B1992" s="610"/>
      <c r="C1992" s="365"/>
      <c r="D1992" s="364"/>
      <c r="E1992" s="363"/>
      <c r="F1992" s="363"/>
      <c r="G1992" s="364"/>
      <c r="H1992" s="363"/>
      <c r="I1992" s="363"/>
      <c r="J1992" s="364"/>
      <c r="K1992" s="363"/>
      <c r="L1992" s="363"/>
      <c r="M1992" s="737"/>
      <c r="N1992" s="332"/>
      <c r="O1992" s="332"/>
      <c r="P1992" s="332"/>
      <c r="Q1992" s="332"/>
      <c r="R1992" s="332"/>
      <c r="S1992" s="332"/>
      <c r="T1992" s="332"/>
    </row>
    <row r="1993" spans="1:20" x14ac:dyDescent="0.6">
      <c r="A1993" s="334"/>
      <c r="B1993" s="610"/>
      <c r="C1993" s="365"/>
      <c r="D1993" s="364"/>
      <c r="E1993" s="363"/>
      <c r="F1993" s="363"/>
      <c r="G1993" s="364"/>
      <c r="H1993" s="363"/>
      <c r="I1993" s="363"/>
      <c r="J1993" s="364"/>
      <c r="K1993" s="363"/>
      <c r="L1993" s="363"/>
      <c r="M1993" s="737"/>
      <c r="N1993" s="332"/>
      <c r="O1993" s="332"/>
      <c r="P1993" s="332"/>
      <c r="Q1993" s="332"/>
      <c r="R1993" s="332"/>
      <c r="S1993" s="332"/>
      <c r="T1993" s="332"/>
    </row>
    <row r="1994" spans="1:20" x14ac:dyDescent="0.6">
      <c r="A1994" s="334"/>
      <c r="B1994" s="610"/>
      <c r="C1994" s="365"/>
      <c r="D1994" s="364"/>
      <c r="E1994" s="363"/>
      <c r="F1994" s="363"/>
      <c r="G1994" s="364"/>
      <c r="H1994" s="363"/>
      <c r="I1994" s="363"/>
      <c r="J1994" s="364"/>
      <c r="K1994" s="363"/>
      <c r="L1994" s="363"/>
      <c r="M1994" s="737"/>
      <c r="N1994" s="332"/>
      <c r="O1994" s="332"/>
      <c r="P1994" s="332"/>
      <c r="Q1994" s="332"/>
      <c r="R1994" s="332"/>
      <c r="S1994" s="332"/>
      <c r="T1994" s="332"/>
    </row>
    <row r="1995" spans="1:20" x14ac:dyDescent="0.6">
      <c r="A1995" s="334"/>
      <c r="B1995" s="610"/>
      <c r="C1995" s="365"/>
      <c r="D1995" s="364"/>
      <c r="E1995" s="363"/>
      <c r="F1995" s="363"/>
      <c r="G1995" s="364"/>
      <c r="H1995" s="363"/>
      <c r="I1995" s="363"/>
      <c r="J1995" s="364"/>
      <c r="K1995" s="363"/>
      <c r="L1995" s="363"/>
      <c r="M1995" s="737"/>
      <c r="N1995" s="332"/>
      <c r="O1995" s="332"/>
      <c r="P1995" s="332"/>
      <c r="Q1995" s="332"/>
      <c r="R1995" s="332"/>
      <c r="S1995" s="332"/>
      <c r="T1995" s="332"/>
    </row>
    <row r="1996" spans="1:20" x14ac:dyDescent="0.6">
      <c r="A1996" s="334"/>
      <c r="B1996" s="610"/>
      <c r="C1996" s="365"/>
      <c r="D1996" s="364"/>
      <c r="E1996" s="363"/>
      <c r="F1996" s="363"/>
      <c r="G1996" s="364"/>
      <c r="H1996" s="363"/>
      <c r="I1996" s="363"/>
      <c r="J1996" s="364"/>
      <c r="K1996" s="363"/>
      <c r="L1996" s="363"/>
      <c r="M1996" s="737"/>
      <c r="N1996" s="332"/>
      <c r="O1996" s="332"/>
      <c r="P1996" s="332"/>
      <c r="Q1996" s="332"/>
      <c r="R1996" s="332"/>
      <c r="S1996" s="332"/>
      <c r="T1996" s="332"/>
    </row>
    <row r="1997" spans="1:20" x14ac:dyDescent="0.6">
      <c r="A1997" s="334"/>
      <c r="B1997" s="610"/>
      <c r="C1997" s="365"/>
      <c r="D1997" s="364"/>
      <c r="E1997" s="363"/>
      <c r="F1997" s="363"/>
      <c r="G1997" s="364"/>
      <c r="H1997" s="363"/>
      <c r="I1997" s="363"/>
      <c r="J1997" s="364"/>
      <c r="K1997" s="363"/>
      <c r="L1997" s="363"/>
      <c r="M1997" s="737"/>
      <c r="N1997" s="332"/>
      <c r="O1997" s="332"/>
      <c r="P1997" s="332"/>
      <c r="Q1997" s="332"/>
      <c r="R1997" s="332"/>
      <c r="S1997" s="332"/>
      <c r="T1997" s="332"/>
    </row>
    <row r="1998" spans="1:20" x14ac:dyDescent="0.6">
      <c r="A1998" s="334"/>
      <c r="B1998" s="610"/>
      <c r="C1998" s="365"/>
      <c r="D1998" s="364"/>
      <c r="E1998" s="363"/>
      <c r="F1998" s="363"/>
      <c r="G1998" s="364"/>
      <c r="H1998" s="363"/>
      <c r="I1998" s="363"/>
      <c r="J1998" s="364"/>
      <c r="K1998" s="363"/>
      <c r="L1998" s="363"/>
      <c r="M1998" s="737"/>
      <c r="N1998" s="332"/>
      <c r="O1998" s="332"/>
      <c r="P1998" s="332"/>
      <c r="Q1998" s="332"/>
      <c r="R1998" s="332"/>
      <c r="S1998" s="332"/>
      <c r="T1998" s="332"/>
    </row>
    <row r="1999" spans="1:20" x14ac:dyDescent="0.6">
      <c r="A1999" s="334"/>
      <c r="B1999" s="610"/>
      <c r="C1999" s="365"/>
      <c r="D1999" s="364"/>
      <c r="E1999" s="363"/>
      <c r="F1999" s="363"/>
      <c r="G1999" s="364"/>
      <c r="H1999" s="363"/>
      <c r="I1999" s="363"/>
      <c r="J1999" s="364"/>
      <c r="K1999" s="363"/>
      <c r="L1999" s="363"/>
      <c r="M1999" s="737"/>
      <c r="N1999" s="332"/>
      <c r="O1999" s="332"/>
      <c r="P1999" s="332"/>
      <c r="Q1999" s="332"/>
      <c r="R1999" s="332"/>
      <c r="S1999" s="332"/>
      <c r="T1999" s="332"/>
    </row>
    <row r="2000" spans="1:20" x14ac:dyDescent="0.6">
      <c r="A2000" s="334"/>
      <c r="B2000" s="610"/>
      <c r="C2000" s="365"/>
      <c r="D2000" s="364"/>
      <c r="E2000" s="363"/>
      <c r="F2000" s="363"/>
      <c r="G2000" s="364"/>
      <c r="H2000" s="363"/>
      <c r="I2000" s="363"/>
      <c r="J2000" s="364"/>
      <c r="K2000" s="363"/>
      <c r="L2000" s="363"/>
      <c r="M2000" s="737"/>
      <c r="N2000" s="332"/>
      <c r="O2000" s="332"/>
      <c r="P2000" s="332"/>
      <c r="Q2000" s="332"/>
      <c r="R2000" s="332"/>
      <c r="S2000" s="332"/>
      <c r="T2000" s="332"/>
    </row>
    <row r="2001" spans="1:20" x14ac:dyDescent="0.6">
      <c r="A2001" s="334"/>
      <c r="B2001" s="610"/>
      <c r="C2001" s="365"/>
      <c r="D2001" s="364"/>
      <c r="E2001" s="363"/>
      <c r="F2001" s="363"/>
      <c r="G2001" s="364"/>
      <c r="H2001" s="363"/>
      <c r="I2001" s="363"/>
      <c r="J2001" s="364"/>
      <c r="K2001" s="363"/>
      <c r="L2001" s="363"/>
      <c r="M2001" s="737"/>
      <c r="N2001" s="332"/>
      <c r="O2001" s="332"/>
      <c r="P2001" s="332"/>
      <c r="Q2001" s="332"/>
      <c r="R2001" s="332"/>
      <c r="S2001" s="332"/>
      <c r="T2001" s="332"/>
    </row>
    <row r="2002" spans="1:20" x14ac:dyDescent="0.6">
      <c r="A2002" s="334"/>
      <c r="B2002" s="610"/>
      <c r="C2002" s="365"/>
      <c r="D2002" s="364"/>
      <c r="E2002" s="363"/>
      <c r="F2002" s="363"/>
      <c r="G2002" s="364"/>
      <c r="H2002" s="363"/>
      <c r="I2002" s="363"/>
      <c r="J2002" s="364"/>
      <c r="K2002" s="363"/>
      <c r="L2002" s="363"/>
      <c r="M2002" s="737"/>
      <c r="N2002" s="332"/>
      <c r="O2002" s="332"/>
      <c r="P2002" s="332"/>
      <c r="Q2002" s="332"/>
      <c r="R2002" s="332"/>
      <c r="S2002" s="332"/>
      <c r="T2002" s="332"/>
    </row>
    <row r="2003" spans="1:20" x14ac:dyDescent="0.6">
      <c r="A2003" s="334"/>
      <c r="B2003" s="610"/>
      <c r="C2003" s="365"/>
      <c r="D2003" s="364"/>
      <c r="E2003" s="363"/>
      <c r="F2003" s="363"/>
      <c r="G2003" s="364"/>
      <c r="H2003" s="363"/>
      <c r="I2003" s="363"/>
      <c r="J2003" s="364"/>
      <c r="K2003" s="363"/>
      <c r="L2003" s="363"/>
      <c r="M2003" s="737"/>
      <c r="N2003" s="332"/>
      <c r="O2003" s="332"/>
      <c r="P2003" s="332"/>
      <c r="Q2003" s="332"/>
      <c r="R2003" s="332"/>
      <c r="S2003" s="332"/>
      <c r="T2003" s="332"/>
    </row>
    <row r="2004" spans="1:20" x14ac:dyDescent="0.6">
      <c r="A2004" s="334"/>
      <c r="B2004" s="610"/>
      <c r="C2004" s="365"/>
      <c r="D2004" s="364"/>
      <c r="E2004" s="363"/>
      <c r="F2004" s="363"/>
      <c r="G2004" s="364"/>
      <c r="H2004" s="363"/>
      <c r="I2004" s="363"/>
      <c r="J2004" s="364"/>
      <c r="K2004" s="363"/>
      <c r="L2004" s="363"/>
      <c r="M2004" s="737"/>
      <c r="N2004" s="332"/>
      <c r="O2004" s="332"/>
      <c r="P2004" s="332"/>
      <c r="Q2004" s="332"/>
      <c r="R2004" s="332"/>
      <c r="S2004" s="332"/>
      <c r="T2004" s="332"/>
    </row>
    <row r="2005" spans="1:20" x14ac:dyDescent="0.6">
      <c r="A2005" s="334"/>
      <c r="B2005" s="610"/>
      <c r="C2005" s="365"/>
      <c r="D2005" s="364"/>
      <c r="E2005" s="363"/>
      <c r="F2005" s="363"/>
      <c r="G2005" s="364"/>
      <c r="H2005" s="363"/>
      <c r="I2005" s="363"/>
      <c r="J2005" s="364"/>
      <c r="K2005" s="363"/>
      <c r="L2005" s="363"/>
      <c r="M2005" s="737"/>
      <c r="N2005" s="332"/>
      <c r="O2005" s="332"/>
      <c r="P2005" s="332"/>
      <c r="Q2005" s="332"/>
      <c r="R2005" s="332"/>
      <c r="S2005" s="332"/>
      <c r="T2005" s="332"/>
    </row>
    <row r="2006" spans="1:20" x14ac:dyDescent="0.6">
      <c r="A2006" s="334"/>
      <c r="B2006" s="610"/>
      <c r="C2006" s="365"/>
      <c r="D2006" s="364"/>
      <c r="E2006" s="363"/>
      <c r="F2006" s="363"/>
      <c r="G2006" s="364"/>
      <c r="H2006" s="363"/>
      <c r="I2006" s="363"/>
      <c r="J2006" s="364"/>
      <c r="K2006" s="363"/>
      <c r="L2006" s="363"/>
      <c r="M2006" s="737"/>
      <c r="N2006" s="332"/>
      <c r="O2006" s="332"/>
      <c r="P2006" s="332"/>
      <c r="Q2006" s="332"/>
      <c r="R2006" s="332"/>
      <c r="S2006" s="332"/>
      <c r="T2006" s="332"/>
    </row>
    <row r="2007" spans="1:20" x14ac:dyDescent="0.6">
      <c r="A2007" s="334"/>
      <c r="B2007" s="610"/>
      <c r="C2007" s="365"/>
      <c r="D2007" s="364"/>
      <c r="E2007" s="363"/>
      <c r="F2007" s="363"/>
      <c r="G2007" s="364"/>
      <c r="H2007" s="363"/>
      <c r="I2007" s="363"/>
      <c r="J2007" s="364"/>
      <c r="K2007" s="363"/>
      <c r="L2007" s="363"/>
      <c r="M2007" s="737"/>
      <c r="N2007" s="332"/>
      <c r="O2007" s="332"/>
      <c r="P2007" s="332"/>
      <c r="Q2007" s="332"/>
      <c r="R2007" s="332"/>
      <c r="S2007" s="332"/>
      <c r="T2007" s="332"/>
    </row>
    <row r="2008" spans="1:20" x14ac:dyDescent="0.6">
      <c r="A2008" s="334"/>
      <c r="B2008" s="610"/>
      <c r="C2008" s="365"/>
      <c r="D2008" s="364"/>
      <c r="E2008" s="363"/>
      <c r="F2008" s="363"/>
      <c r="G2008" s="364"/>
      <c r="H2008" s="363"/>
      <c r="I2008" s="363"/>
      <c r="J2008" s="364"/>
      <c r="K2008" s="363"/>
      <c r="L2008" s="363"/>
      <c r="M2008" s="737"/>
      <c r="N2008" s="332"/>
      <c r="O2008" s="332"/>
      <c r="P2008" s="332"/>
      <c r="Q2008" s="332"/>
      <c r="R2008" s="332"/>
      <c r="S2008" s="332"/>
      <c r="T2008" s="332"/>
    </row>
    <row r="2009" spans="1:20" x14ac:dyDescent="0.6">
      <c r="A2009" s="334"/>
      <c r="B2009" s="610"/>
      <c r="C2009" s="365"/>
      <c r="D2009" s="364"/>
      <c r="E2009" s="363"/>
      <c r="F2009" s="363"/>
      <c r="G2009" s="364"/>
      <c r="H2009" s="363"/>
      <c r="I2009" s="363"/>
      <c r="J2009" s="364"/>
      <c r="K2009" s="363"/>
      <c r="L2009" s="363"/>
      <c r="M2009" s="737"/>
      <c r="N2009" s="332"/>
      <c r="O2009" s="332"/>
      <c r="P2009" s="332"/>
      <c r="Q2009" s="332"/>
      <c r="R2009" s="332"/>
      <c r="S2009" s="332"/>
      <c r="T2009" s="332"/>
    </row>
    <row r="2010" spans="1:20" x14ac:dyDescent="0.6">
      <c r="A2010" s="334"/>
      <c r="B2010" s="610"/>
      <c r="C2010" s="365"/>
      <c r="D2010" s="364"/>
      <c r="E2010" s="363"/>
      <c r="F2010" s="363"/>
      <c r="G2010" s="364"/>
      <c r="H2010" s="363"/>
      <c r="I2010" s="363"/>
      <c r="J2010" s="364"/>
      <c r="K2010" s="363"/>
      <c r="L2010" s="363"/>
      <c r="M2010" s="737"/>
      <c r="N2010" s="332"/>
      <c r="O2010" s="332"/>
      <c r="P2010" s="332"/>
      <c r="Q2010" s="332"/>
      <c r="R2010" s="332"/>
      <c r="S2010" s="332"/>
      <c r="T2010" s="332"/>
    </row>
    <row r="2011" spans="1:20" x14ac:dyDescent="0.6">
      <c r="A2011" s="334"/>
      <c r="B2011" s="610"/>
      <c r="C2011" s="365"/>
      <c r="D2011" s="364"/>
      <c r="E2011" s="363"/>
      <c r="F2011" s="363"/>
      <c r="G2011" s="364"/>
      <c r="H2011" s="363"/>
      <c r="I2011" s="363"/>
      <c r="J2011" s="364"/>
      <c r="K2011" s="363"/>
      <c r="L2011" s="363"/>
      <c r="M2011" s="737"/>
      <c r="N2011" s="332"/>
      <c r="O2011" s="332"/>
      <c r="P2011" s="332"/>
      <c r="Q2011" s="332"/>
      <c r="R2011" s="332"/>
      <c r="S2011" s="332"/>
      <c r="T2011" s="332"/>
    </row>
    <row r="2012" spans="1:20" x14ac:dyDescent="0.6">
      <c r="A2012" s="334"/>
      <c r="B2012" s="610"/>
      <c r="C2012" s="365"/>
      <c r="D2012" s="364"/>
      <c r="E2012" s="363"/>
      <c r="F2012" s="363"/>
      <c r="G2012" s="364"/>
      <c r="H2012" s="363"/>
      <c r="I2012" s="363"/>
      <c r="J2012" s="364"/>
      <c r="K2012" s="363"/>
      <c r="L2012" s="363"/>
      <c r="M2012" s="737"/>
      <c r="N2012" s="332"/>
      <c r="O2012" s="332"/>
      <c r="P2012" s="332"/>
      <c r="Q2012" s="332"/>
      <c r="R2012" s="332"/>
      <c r="S2012" s="332"/>
      <c r="T2012" s="332"/>
    </row>
    <row r="2013" spans="1:20" x14ac:dyDescent="0.6">
      <c r="A2013" s="334"/>
      <c r="B2013" s="610"/>
      <c r="C2013" s="365"/>
      <c r="D2013" s="364"/>
      <c r="E2013" s="363"/>
      <c r="F2013" s="363"/>
      <c r="G2013" s="364"/>
      <c r="H2013" s="363"/>
      <c r="I2013" s="363"/>
      <c r="J2013" s="364"/>
      <c r="K2013" s="363"/>
      <c r="L2013" s="363"/>
      <c r="M2013" s="737"/>
      <c r="N2013" s="332"/>
      <c r="O2013" s="332"/>
      <c r="P2013" s="332"/>
      <c r="Q2013" s="332"/>
      <c r="R2013" s="332"/>
      <c r="S2013" s="332"/>
      <c r="T2013" s="332"/>
    </row>
    <row r="2014" spans="1:20" x14ac:dyDescent="0.6">
      <c r="A2014" s="334"/>
      <c r="B2014" s="610"/>
      <c r="C2014" s="365"/>
      <c r="D2014" s="364"/>
      <c r="E2014" s="363"/>
      <c r="F2014" s="363"/>
      <c r="G2014" s="364"/>
      <c r="H2014" s="363"/>
      <c r="I2014" s="363"/>
      <c r="J2014" s="364"/>
      <c r="K2014" s="363"/>
      <c r="L2014" s="363"/>
      <c r="M2014" s="737"/>
      <c r="N2014" s="332"/>
      <c r="O2014" s="332"/>
      <c r="P2014" s="332"/>
      <c r="Q2014" s="332"/>
      <c r="R2014" s="332"/>
      <c r="S2014" s="332"/>
      <c r="T2014" s="332"/>
    </row>
    <row r="2015" spans="1:20" x14ac:dyDescent="0.6">
      <c r="A2015" s="334"/>
      <c r="B2015" s="610"/>
      <c r="C2015" s="365"/>
      <c r="D2015" s="364"/>
      <c r="E2015" s="363"/>
      <c r="F2015" s="363"/>
      <c r="G2015" s="364"/>
      <c r="H2015" s="363"/>
      <c r="I2015" s="363"/>
      <c r="J2015" s="364"/>
      <c r="K2015" s="363"/>
      <c r="L2015" s="363"/>
      <c r="M2015" s="737"/>
      <c r="N2015" s="332"/>
      <c r="O2015" s="332"/>
      <c r="P2015" s="332"/>
      <c r="Q2015" s="332"/>
      <c r="R2015" s="332"/>
      <c r="S2015" s="332"/>
      <c r="T2015" s="332"/>
    </row>
    <row r="2016" spans="1:20" x14ac:dyDescent="0.6">
      <c r="A2016" s="334"/>
      <c r="B2016" s="610"/>
      <c r="C2016" s="365"/>
      <c r="D2016" s="364"/>
      <c r="E2016" s="363"/>
      <c r="F2016" s="363"/>
      <c r="G2016" s="364"/>
      <c r="H2016" s="363"/>
      <c r="I2016" s="363"/>
      <c r="J2016" s="364"/>
      <c r="K2016" s="363"/>
      <c r="L2016" s="363"/>
      <c r="M2016" s="737"/>
      <c r="N2016" s="332"/>
      <c r="O2016" s="332"/>
      <c r="P2016" s="332"/>
      <c r="Q2016" s="332"/>
      <c r="R2016" s="332"/>
      <c r="S2016" s="332"/>
      <c r="T2016" s="332"/>
    </row>
    <row r="2017" spans="1:20" x14ac:dyDescent="0.6">
      <c r="A2017" s="334"/>
      <c r="B2017" s="610"/>
      <c r="C2017" s="365"/>
      <c r="D2017" s="364"/>
      <c r="E2017" s="363"/>
      <c r="F2017" s="363"/>
      <c r="G2017" s="364"/>
      <c r="H2017" s="363"/>
      <c r="I2017" s="363"/>
      <c r="J2017" s="364"/>
      <c r="K2017" s="363"/>
      <c r="L2017" s="363"/>
      <c r="M2017" s="737"/>
      <c r="N2017" s="332"/>
      <c r="O2017" s="332"/>
      <c r="P2017" s="332"/>
      <c r="Q2017" s="332"/>
      <c r="R2017" s="332"/>
      <c r="S2017" s="332"/>
      <c r="T2017" s="332"/>
    </row>
    <row r="2018" spans="1:20" x14ac:dyDescent="0.6">
      <c r="A2018" s="334"/>
      <c r="B2018" s="610"/>
      <c r="C2018" s="365"/>
      <c r="D2018" s="364"/>
      <c r="E2018" s="363"/>
      <c r="F2018" s="363"/>
      <c r="G2018" s="364"/>
      <c r="H2018" s="363"/>
      <c r="I2018" s="363"/>
      <c r="J2018" s="364"/>
      <c r="K2018" s="363"/>
      <c r="L2018" s="363"/>
      <c r="M2018" s="737"/>
      <c r="N2018" s="332"/>
      <c r="O2018" s="332"/>
      <c r="P2018" s="332"/>
      <c r="Q2018" s="332"/>
      <c r="R2018" s="332"/>
      <c r="S2018" s="332"/>
      <c r="T2018" s="332"/>
    </row>
    <row r="2019" spans="1:20" x14ac:dyDescent="0.6">
      <c r="A2019" s="334"/>
      <c r="B2019" s="610"/>
      <c r="C2019" s="365"/>
      <c r="D2019" s="364"/>
      <c r="E2019" s="363"/>
      <c r="F2019" s="363"/>
      <c r="G2019" s="364"/>
      <c r="H2019" s="363"/>
      <c r="I2019" s="363"/>
      <c r="J2019" s="364"/>
      <c r="K2019" s="363"/>
      <c r="L2019" s="363"/>
      <c r="M2019" s="737"/>
      <c r="N2019" s="332"/>
      <c r="O2019" s="332"/>
      <c r="P2019" s="332"/>
      <c r="Q2019" s="332"/>
      <c r="R2019" s="332"/>
      <c r="S2019" s="332"/>
      <c r="T2019" s="332"/>
    </row>
    <row r="2020" spans="1:20" x14ac:dyDescent="0.6">
      <c r="A2020" s="334"/>
      <c r="B2020" s="610"/>
      <c r="C2020" s="365"/>
      <c r="D2020" s="364"/>
      <c r="E2020" s="363"/>
      <c r="F2020" s="363"/>
      <c r="G2020" s="364"/>
      <c r="H2020" s="363"/>
      <c r="I2020" s="363"/>
      <c r="J2020" s="364"/>
      <c r="K2020" s="363"/>
      <c r="L2020" s="363"/>
      <c r="M2020" s="737"/>
      <c r="N2020" s="332"/>
      <c r="O2020" s="332"/>
      <c r="P2020" s="332"/>
      <c r="Q2020" s="332"/>
      <c r="R2020" s="332"/>
      <c r="S2020" s="332"/>
      <c r="T2020" s="332"/>
    </row>
    <row r="2021" spans="1:20" x14ac:dyDescent="0.6">
      <c r="A2021" s="334"/>
      <c r="B2021" s="610"/>
      <c r="C2021" s="365"/>
      <c r="D2021" s="364"/>
      <c r="E2021" s="363"/>
      <c r="F2021" s="363"/>
      <c r="G2021" s="364"/>
      <c r="H2021" s="363"/>
      <c r="I2021" s="363"/>
      <c r="J2021" s="364"/>
      <c r="K2021" s="363"/>
      <c r="L2021" s="363"/>
      <c r="M2021" s="737"/>
      <c r="N2021" s="332"/>
      <c r="O2021" s="332"/>
      <c r="P2021" s="332"/>
      <c r="Q2021" s="332"/>
      <c r="R2021" s="332"/>
      <c r="S2021" s="332"/>
      <c r="T2021" s="332"/>
    </row>
    <row r="2022" spans="1:20" x14ac:dyDescent="0.6">
      <c r="A2022" s="334"/>
      <c r="B2022" s="610"/>
      <c r="C2022" s="365"/>
      <c r="D2022" s="364"/>
      <c r="E2022" s="363"/>
      <c r="F2022" s="363"/>
      <c r="G2022" s="364"/>
      <c r="H2022" s="363"/>
      <c r="I2022" s="363"/>
      <c r="J2022" s="364"/>
      <c r="K2022" s="363"/>
      <c r="L2022" s="363"/>
      <c r="M2022" s="737"/>
      <c r="N2022" s="332"/>
      <c r="O2022" s="332"/>
      <c r="P2022" s="332"/>
      <c r="Q2022" s="332"/>
      <c r="R2022" s="332"/>
      <c r="S2022" s="332"/>
      <c r="T2022" s="332"/>
    </row>
    <row r="2023" spans="1:20" x14ac:dyDescent="0.6">
      <c r="A2023" s="334"/>
      <c r="B2023" s="610"/>
      <c r="C2023" s="365"/>
      <c r="D2023" s="364"/>
      <c r="E2023" s="363"/>
      <c r="F2023" s="363"/>
      <c r="G2023" s="364"/>
      <c r="H2023" s="363"/>
      <c r="I2023" s="363"/>
      <c r="J2023" s="364"/>
      <c r="K2023" s="363"/>
      <c r="L2023" s="363"/>
      <c r="M2023" s="737"/>
      <c r="N2023" s="332"/>
      <c r="O2023" s="332"/>
      <c r="P2023" s="332"/>
      <c r="Q2023" s="332"/>
      <c r="R2023" s="332"/>
      <c r="S2023" s="332"/>
      <c r="T2023" s="332"/>
    </row>
    <row r="2024" spans="1:20" x14ac:dyDescent="0.6">
      <c r="A2024" s="334"/>
      <c r="B2024" s="610"/>
      <c r="C2024" s="365"/>
      <c r="D2024" s="364"/>
      <c r="E2024" s="363"/>
      <c r="F2024" s="363"/>
      <c r="G2024" s="364"/>
      <c r="H2024" s="363"/>
      <c r="I2024" s="363"/>
      <c r="J2024" s="364"/>
      <c r="K2024" s="363"/>
      <c r="L2024" s="363"/>
      <c r="M2024" s="737"/>
      <c r="N2024" s="332"/>
      <c r="O2024" s="332"/>
      <c r="P2024" s="332"/>
      <c r="Q2024" s="332"/>
      <c r="R2024" s="332"/>
      <c r="S2024" s="332"/>
      <c r="T2024" s="332"/>
    </row>
    <row r="2025" spans="1:20" x14ac:dyDescent="0.6">
      <c r="A2025" s="334"/>
      <c r="B2025" s="610"/>
      <c r="C2025" s="365"/>
      <c r="D2025" s="364"/>
      <c r="E2025" s="363"/>
      <c r="F2025" s="363"/>
      <c r="G2025" s="364"/>
      <c r="H2025" s="363"/>
      <c r="I2025" s="363"/>
      <c r="J2025" s="364"/>
      <c r="K2025" s="363"/>
      <c r="L2025" s="363"/>
      <c r="M2025" s="737"/>
      <c r="N2025" s="332"/>
      <c r="O2025" s="332"/>
      <c r="P2025" s="332"/>
      <c r="Q2025" s="332"/>
      <c r="R2025" s="332"/>
      <c r="S2025" s="332"/>
      <c r="T2025" s="332"/>
    </row>
    <row r="2026" spans="1:20" x14ac:dyDescent="0.6">
      <c r="A2026" s="334"/>
      <c r="B2026" s="610"/>
      <c r="C2026" s="365"/>
      <c r="D2026" s="364"/>
      <c r="E2026" s="363"/>
      <c r="F2026" s="363"/>
      <c r="G2026" s="364"/>
      <c r="H2026" s="363"/>
      <c r="I2026" s="363"/>
      <c r="J2026" s="364"/>
      <c r="K2026" s="363"/>
      <c r="L2026" s="363"/>
      <c r="M2026" s="737"/>
      <c r="N2026" s="332"/>
      <c r="O2026" s="332"/>
      <c r="P2026" s="332"/>
      <c r="Q2026" s="332"/>
      <c r="R2026" s="332"/>
      <c r="S2026" s="332"/>
      <c r="T2026" s="332"/>
    </row>
    <row r="2027" spans="1:20" x14ac:dyDescent="0.6">
      <c r="A2027" s="334"/>
      <c r="B2027" s="610"/>
      <c r="C2027" s="365"/>
      <c r="D2027" s="364"/>
      <c r="E2027" s="363"/>
      <c r="F2027" s="363"/>
      <c r="G2027" s="364"/>
      <c r="H2027" s="363"/>
      <c r="I2027" s="363"/>
      <c r="J2027" s="364"/>
      <c r="K2027" s="363"/>
      <c r="L2027" s="363"/>
      <c r="M2027" s="737"/>
      <c r="N2027" s="332"/>
      <c r="O2027" s="332"/>
      <c r="P2027" s="332"/>
      <c r="Q2027" s="332"/>
      <c r="R2027" s="332"/>
      <c r="S2027" s="332"/>
      <c r="T2027" s="332"/>
    </row>
    <row r="2028" spans="1:20" x14ac:dyDescent="0.6">
      <c r="A2028" s="334"/>
      <c r="B2028" s="610"/>
      <c r="C2028" s="365"/>
      <c r="D2028" s="364"/>
      <c r="E2028" s="363"/>
      <c r="F2028" s="363"/>
      <c r="G2028" s="364"/>
      <c r="H2028" s="363"/>
      <c r="I2028" s="363"/>
      <c r="J2028" s="364"/>
      <c r="K2028" s="363"/>
      <c r="L2028" s="363"/>
      <c r="M2028" s="737"/>
      <c r="N2028" s="332"/>
      <c r="O2028" s="332"/>
      <c r="P2028" s="332"/>
      <c r="Q2028" s="332"/>
      <c r="R2028" s="332"/>
      <c r="S2028" s="332"/>
      <c r="T2028" s="332"/>
    </row>
    <row r="2029" spans="1:20" x14ac:dyDescent="0.6">
      <c r="A2029" s="334"/>
      <c r="B2029" s="610"/>
      <c r="C2029" s="365"/>
      <c r="D2029" s="364"/>
      <c r="E2029" s="363"/>
      <c r="F2029" s="363"/>
      <c r="G2029" s="364"/>
      <c r="H2029" s="363"/>
      <c r="I2029" s="363"/>
      <c r="J2029" s="364"/>
      <c r="K2029" s="363"/>
      <c r="L2029" s="363"/>
      <c r="M2029" s="737"/>
      <c r="N2029" s="332"/>
      <c r="O2029" s="332"/>
      <c r="P2029" s="332"/>
      <c r="Q2029" s="332"/>
      <c r="R2029" s="332"/>
      <c r="S2029" s="332"/>
      <c r="T2029" s="332"/>
    </row>
    <row r="2030" spans="1:20" x14ac:dyDescent="0.6">
      <c r="A2030" s="334"/>
      <c r="B2030" s="610"/>
      <c r="C2030" s="365"/>
      <c r="D2030" s="364"/>
      <c r="E2030" s="363"/>
      <c r="F2030" s="363"/>
      <c r="G2030" s="364"/>
      <c r="H2030" s="363"/>
      <c r="I2030" s="363"/>
      <c r="J2030" s="364"/>
      <c r="K2030" s="363"/>
      <c r="L2030" s="363"/>
      <c r="M2030" s="737"/>
      <c r="N2030" s="332"/>
      <c r="O2030" s="332"/>
      <c r="P2030" s="332"/>
      <c r="Q2030" s="332"/>
      <c r="R2030" s="332"/>
      <c r="S2030" s="332"/>
      <c r="T2030" s="332"/>
    </row>
    <row r="2031" spans="1:20" x14ac:dyDescent="0.6">
      <c r="A2031" s="334"/>
      <c r="B2031" s="610"/>
      <c r="C2031" s="365"/>
      <c r="D2031" s="364"/>
      <c r="E2031" s="363"/>
      <c r="F2031" s="363"/>
      <c r="G2031" s="364"/>
      <c r="H2031" s="363"/>
      <c r="I2031" s="363"/>
      <c r="J2031" s="364"/>
      <c r="K2031" s="363"/>
      <c r="L2031" s="363"/>
      <c r="M2031" s="737"/>
      <c r="N2031" s="332"/>
      <c r="O2031" s="332"/>
      <c r="P2031" s="332"/>
      <c r="Q2031" s="332"/>
      <c r="R2031" s="332"/>
      <c r="S2031" s="332"/>
      <c r="T2031" s="332"/>
    </row>
    <row r="2032" spans="1:20" x14ac:dyDescent="0.6">
      <c r="A2032" s="334"/>
      <c r="B2032" s="610"/>
      <c r="C2032" s="365"/>
      <c r="D2032" s="364"/>
      <c r="E2032" s="363"/>
      <c r="F2032" s="363"/>
      <c r="G2032" s="364"/>
      <c r="H2032" s="363"/>
      <c r="I2032" s="363"/>
      <c r="J2032" s="364"/>
      <c r="K2032" s="363"/>
      <c r="L2032" s="363"/>
      <c r="M2032" s="737"/>
      <c r="N2032" s="332"/>
      <c r="O2032" s="332"/>
      <c r="P2032" s="332"/>
      <c r="Q2032" s="332"/>
      <c r="R2032" s="332"/>
      <c r="S2032" s="332"/>
      <c r="T2032" s="332"/>
    </row>
    <row r="2033" spans="1:20" x14ac:dyDescent="0.6">
      <c r="A2033" s="334"/>
      <c r="B2033" s="610"/>
      <c r="C2033" s="365"/>
      <c r="D2033" s="364"/>
      <c r="E2033" s="363"/>
      <c r="F2033" s="363"/>
      <c r="G2033" s="364"/>
      <c r="H2033" s="363"/>
      <c r="I2033" s="363"/>
      <c r="J2033" s="364"/>
      <c r="K2033" s="363"/>
      <c r="L2033" s="363"/>
      <c r="M2033" s="737"/>
      <c r="N2033" s="332"/>
      <c r="O2033" s="332"/>
      <c r="P2033" s="332"/>
      <c r="Q2033" s="332"/>
      <c r="R2033" s="332"/>
      <c r="S2033" s="332"/>
      <c r="T2033" s="332"/>
    </row>
    <row r="2034" spans="1:20" x14ac:dyDescent="0.6">
      <c r="A2034" s="334"/>
      <c r="B2034" s="610"/>
      <c r="C2034" s="365"/>
      <c r="D2034" s="364"/>
      <c r="E2034" s="363"/>
      <c r="F2034" s="363"/>
      <c r="G2034" s="364"/>
      <c r="H2034" s="363"/>
      <c r="I2034" s="363"/>
      <c r="J2034" s="364"/>
      <c r="K2034" s="363"/>
      <c r="L2034" s="363"/>
      <c r="M2034" s="737"/>
      <c r="N2034" s="332"/>
      <c r="O2034" s="332"/>
      <c r="P2034" s="332"/>
      <c r="Q2034" s="332"/>
      <c r="R2034" s="332"/>
      <c r="S2034" s="332"/>
      <c r="T2034" s="332"/>
    </row>
    <row r="2035" spans="1:20" x14ac:dyDescent="0.6">
      <c r="A2035" s="334"/>
      <c r="B2035" s="610"/>
      <c r="C2035" s="365"/>
      <c r="D2035" s="364"/>
      <c r="E2035" s="363"/>
      <c r="F2035" s="363"/>
      <c r="G2035" s="364"/>
      <c r="H2035" s="363"/>
      <c r="I2035" s="363"/>
      <c r="J2035" s="364"/>
      <c r="K2035" s="363"/>
      <c r="L2035" s="363"/>
      <c r="M2035" s="737"/>
      <c r="N2035" s="332"/>
      <c r="O2035" s="332"/>
      <c r="P2035" s="332"/>
      <c r="Q2035" s="332"/>
      <c r="R2035" s="332"/>
      <c r="S2035" s="332"/>
      <c r="T2035" s="332"/>
    </row>
    <row r="2036" spans="1:20" x14ac:dyDescent="0.6">
      <c r="A2036" s="334"/>
      <c r="B2036" s="610"/>
      <c r="C2036" s="365"/>
      <c r="D2036" s="364"/>
      <c r="E2036" s="363"/>
      <c r="F2036" s="363"/>
      <c r="G2036" s="364"/>
      <c r="H2036" s="363"/>
      <c r="I2036" s="363"/>
      <c r="J2036" s="364"/>
      <c r="K2036" s="363"/>
      <c r="L2036" s="363"/>
      <c r="M2036" s="737"/>
      <c r="N2036" s="332"/>
      <c r="O2036" s="332"/>
      <c r="P2036" s="332"/>
      <c r="Q2036" s="332"/>
      <c r="R2036" s="332"/>
      <c r="S2036" s="332"/>
      <c r="T2036" s="332"/>
    </row>
    <row r="2037" spans="1:20" x14ac:dyDescent="0.6">
      <c r="A2037" s="334"/>
      <c r="B2037" s="610"/>
      <c r="C2037" s="365"/>
      <c r="D2037" s="364"/>
      <c r="E2037" s="363"/>
      <c r="F2037" s="363"/>
      <c r="G2037" s="364"/>
      <c r="H2037" s="363"/>
      <c r="I2037" s="363"/>
      <c r="J2037" s="364"/>
      <c r="K2037" s="363"/>
      <c r="L2037" s="363"/>
      <c r="M2037" s="737"/>
      <c r="N2037" s="332"/>
      <c r="O2037" s="332"/>
      <c r="P2037" s="332"/>
      <c r="Q2037" s="332"/>
      <c r="R2037" s="332"/>
      <c r="S2037" s="332"/>
      <c r="T2037" s="332"/>
    </row>
    <row r="2038" spans="1:20" x14ac:dyDescent="0.6">
      <c r="A2038" s="334"/>
      <c r="B2038" s="610"/>
      <c r="C2038" s="365"/>
      <c r="D2038" s="364"/>
      <c r="E2038" s="363"/>
      <c r="F2038" s="363"/>
      <c r="G2038" s="364"/>
      <c r="H2038" s="363"/>
      <c r="I2038" s="363"/>
      <c r="J2038" s="364"/>
      <c r="K2038" s="363"/>
      <c r="L2038" s="363"/>
      <c r="M2038" s="737"/>
      <c r="N2038" s="332"/>
      <c r="O2038" s="332"/>
      <c r="P2038" s="332"/>
      <c r="Q2038" s="332"/>
      <c r="R2038" s="332"/>
      <c r="S2038" s="332"/>
      <c r="T2038" s="332"/>
    </row>
    <row r="2039" spans="1:20" x14ac:dyDescent="0.6">
      <c r="A2039" s="334"/>
      <c r="B2039" s="610"/>
      <c r="C2039" s="365"/>
      <c r="D2039" s="364"/>
      <c r="E2039" s="363"/>
      <c r="F2039" s="363"/>
      <c r="G2039" s="364"/>
      <c r="H2039" s="363"/>
      <c r="I2039" s="363"/>
      <c r="J2039" s="364"/>
      <c r="K2039" s="363"/>
      <c r="L2039" s="363"/>
      <c r="M2039" s="737"/>
      <c r="N2039" s="332"/>
      <c r="O2039" s="332"/>
      <c r="P2039" s="332"/>
      <c r="Q2039" s="332"/>
      <c r="R2039" s="332"/>
      <c r="S2039" s="332"/>
      <c r="T2039" s="332"/>
    </row>
    <row r="2040" spans="1:20" x14ac:dyDescent="0.6">
      <c r="A2040" s="334"/>
      <c r="B2040" s="610"/>
      <c r="C2040" s="365"/>
      <c r="D2040" s="364"/>
      <c r="E2040" s="363"/>
      <c r="F2040" s="363"/>
      <c r="G2040" s="364"/>
      <c r="H2040" s="363"/>
      <c r="I2040" s="363"/>
      <c r="J2040" s="364"/>
      <c r="K2040" s="363"/>
      <c r="L2040" s="363"/>
      <c r="M2040" s="737"/>
      <c r="N2040" s="332"/>
      <c r="O2040" s="332"/>
      <c r="P2040" s="332"/>
      <c r="Q2040" s="332"/>
      <c r="R2040" s="332"/>
      <c r="S2040" s="332"/>
      <c r="T2040" s="332"/>
    </row>
    <row r="2041" spans="1:20" x14ac:dyDescent="0.6">
      <c r="A2041" s="334"/>
      <c r="B2041" s="610"/>
      <c r="C2041" s="365"/>
      <c r="D2041" s="364"/>
      <c r="E2041" s="363"/>
      <c r="F2041" s="363"/>
      <c r="G2041" s="364"/>
      <c r="H2041" s="363"/>
      <c r="I2041" s="363"/>
      <c r="J2041" s="364"/>
      <c r="K2041" s="363"/>
      <c r="L2041" s="363"/>
      <c r="M2041" s="737"/>
      <c r="N2041" s="332"/>
      <c r="O2041" s="332"/>
      <c r="P2041" s="332"/>
      <c r="Q2041" s="332"/>
      <c r="R2041" s="332"/>
      <c r="S2041" s="332"/>
      <c r="T2041" s="332"/>
    </row>
    <row r="2042" spans="1:20" x14ac:dyDescent="0.6">
      <c r="A2042" s="334"/>
      <c r="B2042" s="610"/>
      <c r="C2042" s="365"/>
      <c r="D2042" s="364"/>
      <c r="E2042" s="363"/>
      <c r="F2042" s="363"/>
      <c r="G2042" s="364"/>
      <c r="H2042" s="363"/>
      <c r="I2042" s="363"/>
      <c r="J2042" s="364"/>
      <c r="K2042" s="363"/>
      <c r="L2042" s="363"/>
      <c r="M2042" s="737"/>
      <c r="N2042" s="332"/>
      <c r="O2042" s="332"/>
      <c r="P2042" s="332"/>
      <c r="Q2042" s="332"/>
      <c r="R2042" s="332"/>
      <c r="S2042" s="332"/>
      <c r="T2042" s="332"/>
    </row>
    <row r="2043" spans="1:20" x14ac:dyDescent="0.6">
      <c r="A2043" s="334"/>
      <c r="B2043" s="610"/>
      <c r="C2043" s="365"/>
      <c r="D2043" s="364"/>
      <c r="E2043" s="363"/>
      <c r="F2043" s="363"/>
      <c r="G2043" s="364"/>
      <c r="H2043" s="363"/>
      <c r="I2043" s="363"/>
      <c r="J2043" s="364"/>
      <c r="K2043" s="363"/>
      <c r="L2043" s="363"/>
      <c r="M2043" s="737"/>
      <c r="N2043" s="332"/>
      <c r="O2043" s="332"/>
      <c r="P2043" s="332"/>
      <c r="Q2043" s="332"/>
      <c r="R2043" s="332"/>
      <c r="S2043" s="332"/>
      <c r="T2043" s="332"/>
    </row>
    <row r="2044" spans="1:20" x14ac:dyDescent="0.6">
      <c r="A2044" s="334"/>
      <c r="B2044" s="610"/>
      <c r="C2044" s="365"/>
      <c r="D2044" s="364"/>
      <c r="E2044" s="363"/>
      <c r="F2044" s="363"/>
      <c r="G2044" s="364"/>
      <c r="H2044" s="363"/>
      <c r="I2044" s="363"/>
      <c r="J2044" s="364"/>
      <c r="K2044" s="363"/>
      <c r="L2044" s="363"/>
      <c r="M2044" s="737"/>
      <c r="N2044" s="332"/>
      <c r="O2044" s="332"/>
      <c r="P2044" s="332"/>
      <c r="Q2044" s="332"/>
      <c r="R2044" s="332"/>
      <c r="S2044" s="332"/>
      <c r="T2044" s="332"/>
    </row>
    <row r="2045" spans="1:20" x14ac:dyDescent="0.6">
      <c r="A2045" s="334"/>
      <c r="B2045" s="610"/>
      <c r="C2045" s="365"/>
      <c r="D2045" s="364"/>
      <c r="E2045" s="363"/>
      <c r="F2045" s="363"/>
      <c r="G2045" s="364"/>
      <c r="H2045" s="363"/>
      <c r="I2045" s="363"/>
      <c r="J2045" s="364"/>
      <c r="K2045" s="363"/>
      <c r="L2045" s="363"/>
      <c r="M2045" s="737"/>
      <c r="N2045" s="332"/>
      <c r="O2045" s="332"/>
      <c r="P2045" s="332"/>
      <c r="Q2045" s="332"/>
      <c r="R2045" s="332"/>
      <c r="S2045" s="332"/>
      <c r="T2045" s="332"/>
    </row>
    <row r="2046" spans="1:20" x14ac:dyDescent="0.6">
      <c r="A2046" s="334"/>
      <c r="B2046" s="610"/>
      <c r="C2046" s="365"/>
      <c r="D2046" s="364"/>
      <c r="E2046" s="363"/>
      <c r="F2046" s="363"/>
      <c r="G2046" s="364"/>
      <c r="H2046" s="363"/>
      <c r="I2046" s="363"/>
      <c r="J2046" s="364"/>
      <c r="K2046" s="363"/>
      <c r="L2046" s="363"/>
      <c r="M2046" s="737"/>
      <c r="N2046" s="332"/>
      <c r="O2046" s="332"/>
      <c r="P2046" s="332"/>
      <c r="Q2046" s="332"/>
      <c r="R2046" s="332"/>
      <c r="S2046" s="332"/>
      <c r="T2046" s="332"/>
    </row>
    <row r="2047" spans="1:20" x14ac:dyDescent="0.6">
      <c r="A2047" s="334"/>
      <c r="B2047" s="610"/>
      <c r="C2047" s="365"/>
      <c r="D2047" s="364"/>
      <c r="E2047" s="363"/>
      <c r="F2047" s="363"/>
      <c r="G2047" s="364"/>
      <c r="H2047" s="363"/>
      <c r="I2047" s="363"/>
      <c r="J2047" s="364"/>
      <c r="K2047" s="363"/>
      <c r="L2047" s="363"/>
      <c r="M2047" s="737"/>
      <c r="N2047" s="332"/>
      <c r="O2047" s="332"/>
      <c r="P2047" s="332"/>
      <c r="Q2047" s="332"/>
      <c r="R2047" s="332"/>
      <c r="S2047" s="332"/>
      <c r="T2047" s="332"/>
    </row>
    <row r="2048" spans="1:20" x14ac:dyDescent="0.6">
      <c r="A2048" s="334"/>
      <c r="B2048" s="610"/>
      <c r="C2048" s="365"/>
      <c r="D2048" s="364"/>
      <c r="E2048" s="363"/>
      <c r="F2048" s="363"/>
      <c r="G2048" s="364"/>
      <c r="H2048" s="363"/>
      <c r="I2048" s="363"/>
      <c r="J2048" s="364"/>
      <c r="K2048" s="363"/>
      <c r="L2048" s="363"/>
      <c r="M2048" s="737"/>
      <c r="N2048" s="332"/>
      <c r="O2048" s="332"/>
      <c r="P2048" s="332"/>
      <c r="Q2048" s="332"/>
      <c r="R2048" s="332"/>
      <c r="S2048" s="332"/>
      <c r="T2048" s="332"/>
    </row>
    <row r="2049" spans="1:20" x14ac:dyDescent="0.6">
      <c r="A2049" s="334"/>
      <c r="B2049" s="610"/>
      <c r="C2049" s="365"/>
      <c r="D2049" s="364"/>
      <c r="E2049" s="363"/>
      <c r="F2049" s="363"/>
      <c r="G2049" s="364"/>
      <c r="H2049" s="363"/>
      <c r="I2049" s="363"/>
      <c r="J2049" s="364"/>
      <c r="K2049" s="363"/>
      <c r="L2049" s="363"/>
      <c r="M2049" s="737"/>
      <c r="N2049" s="332"/>
      <c r="O2049" s="332"/>
      <c r="P2049" s="332"/>
      <c r="Q2049" s="332"/>
      <c r="R2049" s="332"/>
      <c r="S2049" s="332"/>
      <c r="T2049" s="332"/>
    </row>
    <row r="2050" spans="1:20" x14ac:dyDescent="0.6">
      <c r="A2050" s="334"/>
      <c r="B2050" s="610"/>
      <c r="C2050" s="365"/>
      <c r="D2050" s="364"/>
      <c r="E2050" s="363"/>
      <c r="F2050" s="363"/>
      <c r="G2050" s="364"/>
      <c r="H2050" s="363"/>
      <c r="I2050" s="363"/>
      <c r="J2050" s="364"/>
      <c r="K2050" s="363"/>
      <c r="L2050" s="363"/>
      <c r="M2050" s="737"/>
      <c r="N2050" s="332"/>
      <c r="O2050" s="332"/>
      <c r="P2050" s="332"/>
      <c r="Q2050" s="332"/>
      <c r="R2050" s="332"/>
      <c r="S2050" s="332"/>
      <c r="T2050" s="332"/>
    </row>
    <row r="2051" spans="1:20" x14ac:dyDescent="0.6">
      <c r="A2051" s="334"/>
      <c r="B2051" s="610"/>
      <c r="C2051" s="365"/>
      <c r="D2051" s="364"/>
      <c r="E2051" s="363"/>
      <c r="F2051" s="363"/>
      <c r="G2051" s="364"/>
      <c r="H2051" s="363"/>
      <c r="I2051" s="363"/>
      <c r="J2051" s="364"/>
      <c r="K2051" s="363"/>
      <c r="L2051" s="363"/>
      <c r="M2051" s="737"/>
      <c r="N2051" s="332"/>
      <c r="O2051" s="332"/>
      <c r="P2051" s="332"/>
      <c r="Q2051" s="332"/>
      <c r="R2051" s="332"/>
      <c r="S2051" s="332"/>
      <c r="T2051" s="332"/>
    </row>
    <row r="2052" spans="1:20" x14ac:dyDescent="0.6">
      <c r="A2052" s="334"/>
      <c r="B2052" s="610"/>
      <c r="C2052" s="365"/>
      <c r="D2052" s="364"/>
      <c r="E2052" s="363"/>
      <c r="F2052" s="363"/>
      <c r="G2052" s="364"/>
      <c r="H2052" s="363"/>
      <c r="I2052" s="363"/>
      <c r="J2052" s="364"/>
      <c r="K2052" s="363"/>
      <c r="L2052" s="363"/>
      <c r="M2052" s="737"/>
      <c r="N2052" s="332"/>
      <c r="O2052" s="332"/>
      <c r="P2052" s="332"/>
      <c r="Q2052" s="332"/>
      <c r="R2052" s="332"/>
      <c r="S2052" s="332"/>
      <c r="T2052" s="332"/>
    </row>
    <row r="2053" spans="1:20" x14ac:dyDescent="0.6">
      <c r="A2053" s="334"/>
      <c r="B2053" s="610"/>
      <c r="C2053" s="365"/>
      <c r="D2053" s="364"/>
      <c r="E2053" s="363"/>
      <c r="F2053" s="363"/>
      <c r="G2053" s="364"/>
      <c r="H2053" s="363"/>
      <c r="I2053" s="363"/>
      <c r="J2053" s="364"/>
      <c r="K2053" s="363"/>
      <c r="L2053" s="363"/>
      <c r="M2053" s="737"/>
      <c r="N2053" s="332"/>
      <c r="O2053" s="332"/>
      <c r="P2053" s="332"/>
      <c r="Q2053" s="332"/>
      <c r="R2053" s="332"/>
      <c r="S2053" s="332"/>
      <c r="T2053" s="332"/>
    </row>
    <row r="2054" spans="1:20" x14ac:dyDescent="0.6">
      <c r="A2054" s="334"/>
      <c r="B2054" s="610"/>
      <c r="C2054" s="365"/>
      <c r="D2054" s="364"/>
      <c r="E2054" s="363"/>
      <c r="F2054" s="363"/>
      <c r="G2054" s="364"/>
      <c r="H2054" s="363"/>
      <c r="I2054" s="363"/>
      <c r="J2054" s="364"/>
      <c r="K2054" s="363"/>
      <c r="L2054" s="363"/>
      <c r="M2054" s="737"/>
      <c r="N2054" s="332"/>
      <c r="O2054" s="332"/>
      <c r="P2054" s="332"/>
      <c r="Q2054" s="332"/>
      <c r="R2054" s="332"/>
      <c r="S2054" s="332"/>
      <c r="T2054" s="332"/>
    </row>
    <row r="2055" spans="1:20" x14ac:dyDescent="0.6">
      <c r="A2055" s="334"/>
      <c r="B2055" s="610"/>
      <c r="C2055" s="365"/>
      <c r="D2055" s="364"/>
      <c r="E2055" s="363"/>
      <c r="F2055" s="363"/>
      <c r="G2055" s="364"/>
      <c r="H2055" s="363"/>
      <c r="I2055" s="363"/>
      <c r="J2055" s="364"/>
      <c r="K2055" s="363"/>
      <c r="L2055" s="363"/>
      <c r="M2055" s="737"/>
      <c r="N2055" s="332"/>
      <c r="O2055" s="332"/>
      <c r="P2055" s="332"/>
      <c r="Q2055" s="332"/>
      <c r="R2055" s="332"/>
      <c r="S2055" s="332"/>
      <c r="T2055" s="332"/>
    </row>
    <row r="2056" spans="1:20" x14ac:dyDescent="0.6">
      <c r="A2056" s="334"/>
      <c r="B2056" s="610"/>
      <c r="C2056" s="365"/>
      <c r="D2056" s="364"/>
      <c r="E2056" s="363"/>
      <c r="F2056" s="363"/>
      <c r="G2056" s="364"/>
      <c r="H2056" s="363"/>
      <c r="I2056" s="363"/>
      <c r="J2056" s="364"/>
      <c r="K2056" s="363"/>
      <c r="L2056" s="363"/>
      <c r="M2056" s="737"/>
      <c r="N2056" s="332"/>
      <c r="O2056" s="332"/>
      <c r="P2056" s="332"/>
      <c r="Q2056" s="332"/>
      <c r="R2056" s="332"/>
      <c r="S2056" s="332"/>
      <c r="T2056" s="332"/>
    </row>
    <row r="2057" spans="1:20" x14ac:dyDescent="0.6">
      <c r="A2057" s="334"/>
      <c r="B2057" s="610"/>
      <c r="C2057" s="365"/>
      <c r="D2057" s="364"/>
      <c r="E2057" s="363"/>
      <c r="F2057" s="363"/>
      <c r="G2057" s="364"/>
      <c r="H2057" s="363"/>
      <c r="I2057" s="363"/>
      <c r="J2057" s="364"/>
      <c r="K2057" s="363"/>
      <c r="L2057" s="363"/>
      <c r="M2057" s="737"/>
      <c r="N2057" s="332"/>
      <c r="O2057" s="332"/>
      <c r="P2057" s="332"/>
      <c r="Q2057" s="332"/>
      <c r="R2057" s="332"/>
      <c r="S2057" s="332"/>
      <c r="T2057" s="332"/>
    </row>
    <row r="2058" spans="1:20" x14ac:dyDescent="0.6">
      <c r="A2058" s="334"/>
      <c r="B2058" s="610"/>
      <c r="C2058" s="365"/>
      <c r="D2058" s="364"/>
      <c r="E2058" s="363"/>
      <c r="F2058" s="363"/>
      <c r="G2058" s="364"/>
      <c r="H2058" s="363"/>
      <c r="I2058" s="363"/>
      <c r="J2058" s="364"/>
      <c r="K2058" s="363"/>
      <c r="L2058" s="363"/>
      <c r="M2058" s="737"/>
      <c r="N2058" s="332"/>
      <c r="O2058" s="332"/>
      <c r="P2058" s="332"/>
      <c r="Q2058" s="332"/>
      <c r="R2058" s="332"/>
      <c r="S2058" s="332"/>
      <c r="T2058" s="332"/>
    </row>
    <row r="2059" spans="1:20" x14ac:dyDescent="0.6">
      <c r="A2059" s="334"/>
      <c r="B2059" s="610"/>
      <c r="C2059" s="365"/>
      <c r="D2059" s="364"/>
      <c r="E2059" s="363"/>
      <c r="F2059" s="363"/>
      <c r="G2059" s="364"/>
      <c r="H2059" s="363"/>
      <c r="I2059" s="363"/>
      <c r="J2059" s="364"/>
      <c r="K2059" s="363"/>
      <c r="L2059" s="363"/>
      <c r="M2059" s="737"/>
      <c r="N2059" s="332"/>
      <c r="O2059" s="332"/>
      <c r="P2059" s="332"/>
      <c r="Q2059" s="332"/>
      <c r="R2059" s="332"/>
      <c r="S2059" s="332"/>
      <c r="T2059" s="332"/>
    </row>
    <row r="2060" spans="1:20" x14ac:dyDescent="0.6">
      <c r="A2060" s="334"/>
      <c r="B2060" s="610"/>
      <c r="C2060" s="365"/>
      <c r="D2060" s="364"/>
      <c r="E2060" s="363"/>
      <c r="F2060" s="363"/>
      <c r="G2060" s="364"/>
      <c r="H2060" s="363"/>
      <c r="I2060" s="363"/>
      <c r="J2060" s="364"/>
      <c r="K2060" s="363"/>
      <c r="L2060" s="363"/>
      <c r="M2060" s="737"/>
      <c r="N2060" s="332"/>
      <c r="O2060" s="332"/>
      <c r="P2060" s="332"/>
      <c r="Q2060" s="332"/>
      <c r="R2060" s="332"/>
      <c r="S2060" s="332"/>
      <c r="T2060" s="332"/>
    </row>
    <row r="2061" spans="1:20" x14ac:dyDescent="0.6">
      <c r="A2061" s="334"/>
      <c r="B2061" s="610"/>
      <c r="C2061" s="365"/>
      <c r="D2061" s="364"/>
      <c r="E2061" s="363"/>
      <c r="F2061" s="363"/>
      <c r="G2061" s="364"/>
      <c r="H2061" s="363"/>
      <c r="I2061" s="363"/>
      <c r="J2061" s="364"/>
      <c r="K2061" s="363"/>
      <c r="L2061" s="363"/>
      <c r="M2061" s="737"/>
      <c r="N2061" s="332"/>
      <c r="O2061" s="332"/>
      <c r="P2061" s="332"/>
      <c r="Q2061" s="332"/>
      <c r="R2061" s="332"/>
      <c r="S2061" s="332"/>
      <c r="T2061" s="332"/>
    </row>
    <row r="2062" spans="1:20" x14ac:dyDescent="0.6">
      <c r="A2062" s="334"/>
      <c r="B2062" s="610"/>
      <c r="C2062" s="365"/>
      <c r="D2062" s="364"/>
      <c r="E2062" s="363"/>
      <c r="F2062" s="363"/>
      <c r="G2062" s="364"/>
      <c r="H2062" s="363"/>
      <c r="I2062" s="363"/>
      <c r="J2062" s="364"/>
      <c r="K2062" s="363"/>
      <c r="L2062" s="363"/>
      <c r="M2062" s="737"/>
      <c r="N2062" s="332"/>
      <c r="O2062" s="332"/>
      <c r="P2062" s="332"/>
      <c r="Q2062" s="332"/>
      <c r="R2062" s="332"/>
      <c r="S2062" s="332"/>
      <c r="T2062" s="332"/>
    </row>
    <row r="2063" spans="1:20" x14ac:dyDescent="0.6">
      <c r="A2063" s="334"/>
      <c r="B2063" s="610"/>
      <c r="C2063" s="365"/>
      <c r="D2063" s="364"/>
      <c r="E2063" s="363"/>
      <c r="F2063" s="363"/>
      <c r="G2063" s="364"/>
      <c r="H2063" s="363"/>
      <c r="I2063" s="363"/>
      <c r="J2063" s="364"/>
      <c r="K2063" s="363"/>
      <c r="L2063" s="363"/>
      <c r="M2063" s="737"/>
      <c r="N2063" s="332"/>
      <c r="O2063" s="332"/>
      <c r="P2063" s="332"/>
      <c r="Q2063" s="332"/>
      <c r="R2063" s="332"/>
      <c r="S2063" s="332"/>
      <c r="T2063" s="332"/>
    </row>
    <row r="2064" spans="1:20" x14ac:dyDescent="0.6">
      <c r="A2064" s="334"/>
      <c r="B2064" s="610"/>
      <c r="C2064" s="365"/>
      <c r="D2064" s="364"/>
      <c r="E2064" s="363"/>
      <c r="F2064" s="363"/>
      <c r="G2064" s="364"/>
      <c r="H2064" s="363"/>
      <c r="I2064" s="363"/>
      <c r="J2064" s="364"/>
      <c r="K2064" s="363"/>
      <c r="L2064" s="363"/>
      <c r="M2064" s="737"/>
      <c r="N2064" s="332"/>
      <c r="O2064" s="332"/>
      <c r="P2064" s="332"/>
      <c r="Q2064" s="332"/>
      <c r="R2064" s="332"/>
      <c r="S2064" s="332"/>
      <c r="T2064" s="332"/>
    </row>
    <row r="2065" spans="1:20" x14ac:dyDescent="0.6">
      <c r="A2065" s="334"/>
      <c r="B2065" s="610"/>
      <c r="C2065" s="365"/>
      <c r="D2065" s="364"/>
      <c r="E2065" s="363"/>
      <c r="F2065" s="363"/>
      <c r="G2065" s="364"/>
      <c r="H2065" s="363"/>
      <c r="I2065" s="363"/>
      <c r="J2065" s="364"/>
      <c r="K2065" s="363"/>
      <c r="L2065" s="363"/>
      <c r="M2065" s="737"/>
      <c r="N2065" s="332"/>
      <c r="O2065" s="332"/>
      <c r="P2065" s="332"/>
      <c r="Q2065" s="332"/>
      <c r="R2065" s="332"/>
      <c r="S2065" s="332"/>
      <c r="T2065" s="332"/>
    </row>
    <row r="2066" spans="1:20" x14ac:dyDescent="0.6">
      <c r="A2066" s="334"/>
      <c r="B2066" s="610"/>
      <c r="C2066" s="365"/>
      <c r="D2066" s="364"/>
      <c r="E2066" s="363"/>
      <c r="F2066" s="363"/>
      <c r="G2066" s="364"/>
      <c r="H2066" s="363"/>
      <c r="I2066" s="363"/>
      <c r="J2066" s="364"/>
      <c r="K2066" s="363"/>
      <c r="L2066" s="363"/>
      <c r="M2066" s="737"/>
      <c r="N2066" s="332"/>
      <c r="O2066" s="332"/>
      <c r="P2066" s="332"/>
      <c r="Q2066" s="332"/>
      <c r="R2066" s="332"/>
      <c r="S2066" s="332"/>
      <c r="T2066" s="332"/>
    </row>
    <row r="2067" spans="1:20" x14ac:dyDescent="0.6">
      <c r="A2067" s="334"/>
      <c r="B2067" s="610"/>
      <c r="C2067" s="365"/>
      <c r="D2067" s="364"/>
      <c r="E2067" s="363"/>
      <c r="F2067" s="363"/>
      <c r="G2067" s="364"/>
      <c r="H2067" s="363"/>
      <c r="I2067" s="363"/>
      <c r="J2067" s="364"/>
      <c r="K2067" s="363"/>
      <c r="L2067" s="363"/>
      <c r="M2067" s="737"/>
      <c r="N2067" s="332"/>
      <c r="O2067" s="332"/>
      <c r="P2067" s="332"/>
      <c r="Q2067" s="332"/>
      <c r="R2067" s="332"/>
      <c r="S2067" s="332"/>
      <c r="T2067" s="332"/>
    </row>
    <row r="2068" spans="1:20" x14ac:dyDescent="0.6">
      <c r="A2068" s="334"/>
      <c r="B2068" s="610"/>
      <c r="C2068" s="365"/>
      <c r="D2068" s="364"/>
      <c r="E2068" s="363"/>
      <c r="F2068" s="363"/>
      <c r="G2068" s="364"/>
      <c r="H2068" s="363"/>
      <c r="I2068" s="363"/>
      <c r="J2068" s="364"/>
      <c r="K2068" s="363"/>
      <c r="L2068" s="363"/>
      <c r="M2068" s="737"/>
      <c r="N2068" s="332"/>
      <c r="O2068" s="332"/>
      <c r="P2068" s="332"/>
      <c r="Q2068" s="332"/>
      <c r="R2068" s="332"/>
      <c r="S2068" s="332"/>
      <c r="T2068" s="332"/>
    </row>
    <row r="2069" spans="1:20" x14ac:dyDescent="0.6">
      <c r="A2069" s="334"/>
      <c r="B2069" s="610"/>
      <c r="C2069" s="365"/>
      <c r="D2069" s="364"/>
      <c r="E2069" s="363"/>
      <c r="F2069" s="363"/>
      <c r="G2069" s="364"/>
      <c r="H2069" s="363"/>
      <c r="I2069" s="363"/>
      <c r="J2069" s="364"/>
      <c r="K2069" s="363"/>
      <c r="L2069" s="363"/>
      <c r="M2069" s="737"/>
      <c r="N2069" s="332"/>
      <c r="O2069" s="332"/>
      <c r="P2069" s="332"/>
      <c r="Q2069" s="332"/>
      <c r="R2069" s="332"/>
      <c r="S2069" s="332"/>
      <c r="T2069" s="332"/>
    </row>
    <row r="2070" spans="1:20" x14ac:dyDescent="0.6">
      <c r="A2070" s="334"/>
      <c r="B2070" s="610"/>
      <c r="C2070" s="365"/>
      <c r="D2070" s="364"/>
      <c r="E2070" s="363"/>
      <c r="F2070" s="363"/>
      <c r="G2070" s="364"/>
      <c r="H2070" s="363"/>
      <c r="I2070" s="363"/>
      <c r="J2070" s="364"/>
      <c r="K2070" s="363"/>
      <c r="L2070" s="363"/>
      <c r="M2070" s="737"/>
      <c r="N2070" s="332"/>
      <c r="O2070" s="332"/>
      <c r="P2070" s="332"/>
      <c r="Q2070" s="332"/>
      <c r="R2070" s="332"/>
      <c r="S2070" s="332"/>
      <c r="T2070" s="332"/>
    </row>
    <row r="2071" spans="1:20" x14ac:dyDescent="0.6">
      <c r="A2071" s="334"/>
      <c r="B2071" s="610"/>
      <c r="C2071" s="365"/>
      <c r="D2071" s="364"/>
      <c r="E2071" s="363"/>
      <c r="F2071" s="363"/>
      <c r="G2071" s="364"/>
      <c r="H2071" s="363"/>
      <c r="I2071" s="363"/>
      <c r="J2071" s="364"/>
      <c r="K2071" s="363"/>
      <c r="L2071" s="363"/>
      <c r="M2071" s="737"/>
      <c r="N2071" s="332"/>
      <c r="O2071" s="332"/>
      <c r="P2071" s="332"/>
      <c r="Q2071" s="332"/>
      <c r="R2071" s="332"/>
      <c r="S2071" s="332"/>
      <c r="T2071" s="332"/>
    </row>
    <row r="2072" spans="1:20" x14ac:dyDescent="0.6">
      <c r="A2072" s="334"/>
      <c r="B2072" s="610"/>
      <c r="C2072" s="365"/>
      <c r="D2072" s="364"/>
      <c r="E2072" s="363"/>
      <c r="F2072" s="363"/>
      <c r="G2072" s="364"/>
      <c r="H2072" s="363"/>
      <c r="I2072" s="363"/>
      <c r="J2072" s="364"/>
      <c r="K2072" s="363"/>
      <c r="L2072" s="363"/>
      <c r="M2072" s="737"/>
      <c r="N2072" s="332"/>
      <c r="O2072" s="332"/>
      <c r="P2072" s="332"/>
      <c r="Q2072" s="332"/>
      <c r="R2072" s="332"/>
      <c r="S2072" s="332"/>
      <c r="T2072" s="332"/>
    </row>
    <row r="2073" spans="1:20" x14ac:dyDescent="0.6">
      <c r="A2073" s="334"/>
      <c r="B2073" s="610"/>
      <c r="C2073" s="365"/>
      <c r="D2073" s="364"/>
      <c r="E2073" s="363"/>
      <c r="F2073" s="363"/>
      <c r="G2073" s="364"/>
      <c r="H2073" s="363"/>
      <c r="I2073" s="363"/>
      <c r="J2073" s="364"/>
      <c r="K2073" s="363"/>
      <c r="L2073" s="363"/>
      <c r="M2073" s="737"/>
      <c r="N2073" s="332"/>
      <c r="O2073" s="332"/>
      <c r="P2073" s="332"/>
      <c r="Q2073" s="332"/>
      <c r="R2073" s="332"/>
      <c r="S2073" s="332"/>
      <c r="T2073" s="332"/>
    </row>
    <row r="2074" spans="1:20" x14ac:dyDescent="0.6">
      <c r="A2074" s="334"/>
      <c r="B2074" s="610"/>
      <c r="C2074" s="365"/>
      <c r="D2074" s="364"/>
      <c r="E2074" s="363"/>
      <c r="F2074" s="363"/>
      <c r="G2074" s="364"/>
      <c r="H2074" s="363"/>
      <c r="I2074" s="363"/>
      <c r="J2074" s="364"/>
      <c r="K2074" s="363"/>
      <c r="L2074" s="363"/>
      <c r="M2074" s="737"/>
      <c r="N2074" s="332"/>
      <c r="O2074" s="332"/>
      <c r="P2074" s="332"/>
      <c r="Q2074" s="332"/>
      <c r="R2074" s="332"/>
      <c r="S2074" s="332"/>
      <c r="T2074" s="332"/>
    </row>
    <row r="2075" spans="1:20" x14ac:dyDescent="0.6">
      <c r="A2075" s="334"/>
      <c r="B2075" s="610"/>
      <c r="C2075" s="365"/>
      <c r="D2075" s="364"/>
      <c r="E2075" s="363"/>
      <c r="F2075" s="363"/>
      <c r="G2075" s="364"/>
      <c r="H2075" s="363"/>
      <c r="I2075" s="363"/>
      <c r="J2075" s="364"/>
      <c r="K2075" s="363"/>
      <c r="L2075" s="363"/>
      <c r="M2075" s="737"/>
      <c r="N2075" s="332"/>
      <c r="O2075" s="332"/>
      <c r="P2075" s="332"/>
      <c r="Q2075" s="332"/>
      <c r="R2075" s="332"/>
      <c r="S2075" s="332"/>
      <c r="T2075" s="332"/>
    </row>
    <row r="2076" spans="1:20" x14ac:dyDescent="0.6">
      <c r="A2076" s="334"/>
      <c r="B2076" s="610"/>
      <c r="C2076" s="365"/>
      <c r="D2076" s="364"/>
      <c r="E2076" s="363"/>
      <c r="F2076" s="363"/>
      <c r="G2076" s="364"/>
      <c r="H2076" s="363"/>
      <c r="I2076" s="363"/>
      <c r="J2076" s="364"/>
      <c r="K2076" s="363"/>
      <c r="L2076" s="363"/>
      <c r="M2076" s="737"/>
      <c r="N2076" s="332"/>
      <c r="O2076" s="332"/>
      <c r="P2076" s="332"/>
      <c r="Q2076" s="332"/>
      <c r="R2076" s="332"/>
      <c r="S2076" s="332"/>
      <c r="T2076" s="332"/>
    </row>
    <row r="2077" spans="1:20" x14ac:dyDescent="0.6">
      <c r="A2077" s="334"/>
      <c r="B2077" s="610"/>
      <c r="C2077" s="365"/>
      <c r="D2077" s="364"/>
      <c r="E2077" s="363"/>
      <c r="F2077" s="363"/>
      <c r="G2077" s="364"/>
      <c r="H2077" s="363"/>
      <c r="I2077" s="363"/>
      <c r="J2077" s="364"/>
      <c r="K2077" s="363"/>
      <c r="L2077" s="363"/>
      <c r="M2077" s="737"/>
      <c r="N2077" s="332"/>
      <c r="O2077" s="332"/>
      <c r="P2077" s="332"/>
      <c r="Q2077" s="332"/>
      <c r="R2077" s="332"/>
      <c r="S2077" s="332"/>
      <c r="T2077" s="332"/>
    </row>
    <row r="2078" spans="1:20" x14ac:dyDescent="0.6">
      <c r="A2078" s="334"/>
      <c r="B2078" s="610"/>
      <c r="C2078" s="365"/>
      <c r="D2078" s="364"/>
      <c r="E2078" s="363"/>
      <c r="F2078" s="363"/>
      <c r="G2078" s="364"/>
      <c r="H2078" s="363"/>
      <c r="I2078" s="363"/>
      <c r="J2078" s="364"/>
      <c r="K2078" s="363"/>
      <c r="L2078" s="363"/>
      <c r="M2078" s="737"/>
      <c r="N2078" s="332"/>
      <c r="O2078" s="332"/>
      <c r="P2078" s="332"/>
      <c r="Q2078" s="332"/>
      <c r="R2078" s="332"/>
      <c r="S2078" s="332"/>
      <c r="T2078" s="332"/>
    </row>
    <row r="2079" spans="1:20" x14ac:dyDescent="0.6">
      <c r="A2079" s="334"/>
      <c r="B2079" s="610"/>
      <c r="C2079" s="365"/>
      <c r="D2079" s="364"/>
      <c r="E2079" s="363"/>
      <c r="F2079" s="363"/>
      <c r="G2079" s="364"/>
      <c r="H2079" s="363"/>
      <c r="I2079" s="363"/>
      <c r="J2079" s="364"/>
      <c r="K2079" s="363"/>
      <c r="L2079" s="363"/>
      <c r="M2079" s="737"/>
      <c r="N2079" s="332"/>
      <c r="O2079" s="332"/>
      <c r="P2079" s="332"/>
      <c r="Q2079" s="332"/>
      <c r="R2079" s="332"/>
      <c r="S2079" s="332"/>
      <c r="T2079" s="332"/>
    </row>
    <row r="2080" spans="1:20" x14ac:dyDescent="0.6">
      <c r="A2080" s="334"/>
      <c r="B2080" s="610"/>
      <c r="C2080" s="365"/>
      <c r="D2080" s="364"/>
      <c r="E2080" s="363"/>
      <c r="F2080" s="363"/>
      <c r="G2080" s="364"/>
      <c r="H2080" s="363"/>
      <c r="I2080" s="363"/>
      <c r="J2080" s="364"/>
      <c r="K2080" s="363"/>
      <c r="L2080" s="363"/>
      <c r="M2080" s="737"/>
      <c r="N2080" s="332"/>
      <c r="O2080" s="332"/>
      <c r="P2080" s="332"/>
      <c r="Q2080" s="332"/>
      <c r="R2080" s="332"/>
      <c r="S2080" s="332"/>
      <c r="T2080" s="332"/>
    </row>
    <row r="2081" spans="1:20" x14ac:dyDescent="0.6">
      <c r="A2081" s="334"/>
      <c r="B2081" s="610"/>
      <c r="C2081" s="365"/>
      <c r="D2081" s="364"/>
      <c r="E2081" s="363"/>
      <c r="F2081" s="363"/>
      <c r="G2081" s="364"/>
      <c r="H2081" s="363"/>
      <c r="I2081" s="363"/>
      <c r="J2081" s="364"/>
      <c r="K2081" s="363"/>
      <c r="L2081" s="363"/>
      <c r="M2081" s="737"/>
      <c r="N2081" s="332"/>
      <c r="O2081" s="332"/>
      <c r="P2081" s="332"/>
      <c r="Q2081" s="332"/>
      <c r="R2081" s="332"/>
      <c r="S2081" s="332"/>
      <c r="T2081" s="332"/>
    </row>
    <row r="2082" spans="1:20" x14ac:dyDescent="0.6">
      <c r="A2082" s="334"/>
      <c r="B2082" s="610"/>
      <c r="C2082" s="365"/>
      <c r="D2082" s="364"/>
      <c r="E2082" s="363"/>
      <c r="F2082" s="363"/>
      <c r="G2082" s="364"/>
      <c r="H2082" s="363"/>
      <c r="I2082" s="363"/>
      <c r="J2082" s="364"/>
      <c r="K2082" s="363"/>
      <c r="L2082" s="363"/>
      <c r="M2082" s="737"/>
      <c r="N2082" s="332"/>
      <c r="O2082" s="332"/>
      <c r="P2082" s="332"/>
      <c r="Q2082" s="332"/>
      <c r="R2082" s="332"/>
      <c r="S2082" s="332"/>
      <c r="T2082" s="332"/>
    </row>
    <row r="2083" spans="1:20" x14ac:dyDescent="0.6">
      <c r="A2083" s="334"/>
      <c r="B2083" s="610"/>
      <c r="C2083" s="365"/>
      <c r="D2083" s="364"/>
      <c r="E2083" s="363"/>
      <c r="F2083" s="363"/>
      <c r="G2083" s="364"/>
      <c r="H2083" s="363"/>
      <c r="I2083" s="363"/>
      <c r="J2083" s="364"/>
      <c r="K2083" s="363"/>
      <c r="L2083" s="363"/>
      <c r="M2083" s="737"/>
      <c r="N2083" s="332"/>
      <c r="O2083" s="332"/>
      <c r="P2083" s="332"/>
      <c r="Q2083" s="332"/>
      <c r="R2083" s="332"/>
      <c r="S2083" s="332"/>
      <c r="T2083" s="332"/>
    </row>
    <row r="2084" spans="1:20" x14ac:dyDescent="0.6">
      <c r="A2084" s="334"/>
      <c r="B2084" s="610"/>
      <c r="C2084" s="365"/>
      <c r="D2084" s="364"/>
      <c r="E2084" s="363"/>
      <c r="F2084" s="363"/>
      <c r="G2084" s="364"/>
      <c r="H2084" s="363"/>
      <c r="I2084" s="363"/>
      <c r="J2084" s="364"/>
      <c r="K2084" s="363"/>
      <c r="L2084" s="363"/>
      <c r="M2084" s="737"/>
      <c r="N2084" s="332"/>
      <c r="O2084" s="332"/>
      <c r="P2084" s="332"/>
      <c r="Q2084" s="332"/>
      <c r="R2084" s="332"/>
      <c r="S2084" s="332"/>
      <c r="T2084" s="332"/>
    </row>
    <row r="2085" spans="1:20" x14ac:dyDescent="0.6">
      <c r="A2085" s="334"/>
      <c r="B2085" s="610"/>
      <c r="C2085" s="365"/>
      <c r="D2085" s="364"/>
      <c r="E2085" s="363"/>
      <c r="F2085" s="363"/>
      <c r="G2085" s="364"/>
      <c r="H2085" s="363"/>
      <c r="I2085" s="363"/>
      <c r="J2085" s="364"/>
      <c r="K2085" s="363"/>
      <c r="L2085" s="363"/>
      <c r="M2085" s="737"/>
      <c r="N2085" s="332"/>
      <c r="O2085" s="332"/>
      <c r="P2085" s="332"/>
      <c r="Q2085" s="332"/>
      <c r="R2085" s="332"/>
      <c r="S2085" s="332"/>
      <c r="T2085" s="332"/>
    </row>
    <row r="2086" spans="1:20" x14ac:dyDescent="0.6">
      <c r="A2086" s="334"/>
      <c r="B2086" s="610"/>
      <c r="C2086" s="365"/>
      <c r="D2086" s="364"/>
      <c r="E2086" s="363"/>
      <c r="F2086" s="363"/>
      <c r="G2086" s="364"/>
      <c r="H2086" s="363"/>
      <c r="I2086" s="363"/>
      <c r="J2086" s="364"/>
      <c r="K2086" s="363"/>
      <c r="L2086" s="363"/>
      <c r="M2086" s="737"/>
      <c r="N2086" s="332"/>
      <c r="O2086" s="332"/>
      <c r="P2086" s="332"/>
      <c r="Q2086" s="332"/>
      <c r="R2086" s="332"/>
      <c r="S2086" s="332"/>
      <c r="T2086" s="332"/>
    </row>
    <row r="2087" spans="1:20" x14ac:dyDescent="0.6">
      <c r="A2087" s="334"/>
      <c r="B2087" s="610"/>
      <c r="C2087" s="365"/>
      <c r="D2087" s="364"/>
      <c r="E2087" s="363"/>
      <c r="F2087" s="363"/>
      <c r="G2087" s="364"/>
      <c r="H2087" s="363"/>
      <c r="I2087" s="363"/>
      <c r="J2087" s="364"/>
      <c r="K2087" s="363"/>
      <c r="L2087" s="363"/>
      <c r="M2087" s="737"/>
      <c r="N2087" s="332"/>
      <c r="O2087" s="332"/>
      <c r="P2087" s="332"/>
      <c r="Q2087" s="332"/>
      <c r="R2087" s="332"/>
      <c r="S2087" s="332"/>
      <c r="T2087" s="332"/>
    </row>
    <row r="2088" spans="1:20" x14ac:dyDescent="0.6">
      <c r="A2088" s="334"/>
      <c r="B2088" s="610"/>
      <c r="C2088" s="365"/>
      <c r="D2088" s="364"/>
      <c r="E2088" s="363"/>
      <c r="F2088" s="363"/>
      <c r="G2088" s="364"/>
      <c r="H2088" s="363"/>
      <c r="I2088" s="363"/>
      <c r="J2088" s="364"/>
      <c r="K2088" s="363"/>
      <c r="L2088" s="363"/>
      <c r="M2088" s="737"/>
      <c r="N2088" s="332"/>
      <c r="O2088" s="332"/>
      <c r="P2088" s="332"/>
      <c r="Q2088" s="332"/>
      <c r="R2088" s="332"/>
      <c r="S2088" s="332"/>
      <c r="T2088" s="332"/>
    </row>
    <row r="2089" spans="1:20" x14ac:dyDescent="0.6">
      <c r="A2089" s="334"/>
      <c r="B2089" s="610"/>
      <c r="C2089" s="365"/>
      <c r="D2089" s="364"/>
      <c r="E2089" s="363"/>
      <c r="F2089" s="363"/>
      <c r="G2089" s="364"/>
      <c r="H2089" s="363"/>
      <c r="I2089" s="363"/>
      <c r="J2089" s="364"/>
      <c r="K2089" s="363"/>
      <c r="L2089" s="363"/>
      <c r="M2089" s="737"/>
      <c r="N2089" s="332"/>
      <c r="O2089" s="332"/>
      <c r="P2089" s="332"/>
      <c r="Q2089" s="332"/>
      <c r="R2089" s="332"/>
      <c r="S2089" s="332"/>
      <c r="T2089" s="332"/>
    </row>
    <row r="2090" spans="1:20" x14ac:dyDescent="0.6">
      <c r="A2090" s="334"/>
      <c r="B2090" s="610"/>
      <c r="C2090" s="365"/>
      <c r="D2090" s="364"/>
      <c r="E2090" s="363"/>
      <c r="F2090" s="363"/>
      <c r="G2090" s="364"/>
      <c r="H2090" s="363"/>
      <c r="I2090" s="363"/>
      <c r="J2090" s="364"/>
      <c r="K2090" s="363"/>
      <c r="L2090" s="363"/>
      <c r="M2090" s="737"/>
      <c r="N2090" s="332"/>
      <c r="O2090" s="332"/>
      <c r="P2090" s="332"/>
      <c r="Q2090" s="332"/>
      <c r="R2090" s="332"/>
      <c r="S2090" s="332"/>
      <c r="T2090" s="332"/>
    </row>
    <row r="2091" spans="1:20" x14ac:dyDescent="0.6">
      <c r="A2091" s="334"/>
      <c r="B2091" s="610"/>
      <c r="C2091" s="365"/>
      <c r="D2091" s="364"/>
      <c r="E2091" s="363"/>
      <c r="F2091" s="363"/>
      <c r="G2091" s="364"/>
      <c r="H2091" s="363"/>
      <c r="I2091" s="363"/>
      <c r="J2091" s="364"/>
      <c r="K2091" s="363"/>
      <c r="L2091" s="363"/>
      <c r="M2091" s="737"/>
      <c r="N2091" s="332"/>
      <c r="O2091" s="332"/>
      <c r="P2091" s="332"/>
      <c r="Q2091" s="332"/>
      <c r="R2091" s="332"/>
      <c r="S2091" s="332"/>
      <c r="T2091" s="332"/>
    </row>
    <row r="2092" spans="1:20" x14ac:dyDescent="0.6">
      <c r="A2092" s="334"/>
      <c r="B2092" s="610"/>
      <c r="C2092" s="365"/>
      <c r="D2092" s="364"/>
      <c r="E2092" s="363"/>
      <c r="F2092" s="363"/>
      <c r="G2092" s="364"/>
      <c r="H2092" s="363"/>
      <c r="I2092" s="363"/>
      <c r="J2092" s="364"/>
      <c r="K2092" s="363"/>
      <c r="L2092" s="363"/>
      <c r="M2092" s="737"/>
      <c r="N2092" s="332"/>
      <c r="O2092" s="332"/>
      <c r="P2092" s="332"/>
      <c r="Q2092" s="332"/>
      <c r="R2092" s="332"/>
      <c r="S2092" s="332"/>
      <c r="T2092" s="332"/>
    </row>
    <row r="2093" spans="1:20" x14ac:dyDescent="0.6">
      <c r="A2093" s="334"/>
      <c r="B2093" s="610"/>
      <c r="C2093" s="365"/>
      <c r="D2093" s="364"/>
      <c r="E2093" s="363"/>
      <c r="F2093" s="363"/>
      <c r="G2093" s="364"/>
      <c r="H2093" s="363"/>
      <c r="I2093" s="363"/>
      <c r="J2093" s="364"/>
      <c r="K2093" s="363"/>
      <c r="L2093" s="363"/>
      <c r="M2093" s="737"/>
      <c r="N2093" s="332"/>
      <c r="O2093" s="332"/>
      <c r="P2093" s="332"/>
      <c r="Q2093" s="332"/>
      <c r="R2093" s="332"/>
      <c r="S2093" s="332"/>
      <c r="T2093" s="332"/>
    </row>
    <row r="2094" spans="1:20" x14ac:dyDescent="0.6">
      <c r="A2094" s="334"/>
      <c r="B2094" s="610"/>
      <c r="C2094" s="365"/>
      <c r="D2094" s="364"/>
      <c r="E2094" s="363"/>
      <c r="F2094" s="363"/>
      <c r="G2094" s="364"/>
      <c r="H2094" s="363"/>
      <c r="I2094" s="363"/>
      <c r="J2094" s="364"/>
      <c r="K2094" s="363"/>
      <c r="L2094" s="363"/>
      <c r="M2094" s="737"/>
      <c r="N2094" s="332"/>
      <c r="O2094" s="332"/>
      <c r="P2094" s="332"/>
      <c r="Q2094" s="332"/>
      <c r="R2094" s="332"/>
      <c r="S2094" s="332"/>
      <c r="T2094" s="332"/>
    </row>
    <row r="2095" spans="1:20" x14ac:dyDescent="0.6">
      <c r="A2095" s="334"/>
      <c r="B2095" s="610"/>
      <c r="C2095" s="365"/>
      <c r="D2095" s="364"/>
      <c r="E2095" s="363"/>
      <c r="F2095" s="363"/>
      <c r="G2095" s="364"/>
      <c r="H2095" s="363"/>
      <c r="I2095" s="363"/>
      <c r="J2095" s="364"/>
      <c r="K2095" s="363"/>
      <c r="L2095" s="363"/>
      <c r="M2095" s="737"/>
      <c r="N2095" s="332"/>
      <c r="O2095" s="332"/>
      <c r="P2095" s="332"/>
      <c r="Q2095" s="332"/>
      <c r="R2095" s="332"/>
      <c r="S2095" s="332"/>
      <c r="T2095" s="332"/>
    </row>
    <row r="2096" spans="1:20" x14ac:dyDescent="0.6">
      <c r="A2096" s="334"/>
      <c r="B2096" s="610"/>
      <c r="C2096" s="365"/>
      <c r="D2096" s="364"/>
      <c r="E2096" s="363"/>
      <c r="F2096" s="363"/>
      <c r="G2096" s="364"/>
      <c r="H2096" s="363"/>
      <c r="I2096" s="363"/>
      <c r="J2096" s="364"/>
      <c r="K2096" s="363"/>
      <c r="L2096" s="363"/>
      <c r="M2096" s="737"/>
      <c r="N2096" s="332"/>
      <c r="O2096" s="332"/>
      <c r="P2096" s="332"/>
      <c r="Q2096" s="332"/>
      <c r="R2096" s="332"/>
      <c r="S2096" s="332"/>
      <c r="T2096" s="332"/>
    </row>
    <row r="2097" spans="1:20" x14ac:dyDescent="0.6">
      <c r="A2097" s="334"/>
      <c r="B2097" s="610"/>
      <c r="C2097" s="365"/>
      <c r="D2097" s="364"/>
      <c r="E2097" s="363"/>
      <c r="F2097" s="363"/>
      <c r="G2097" s="364"/>
      <c r="H2097" s="363"/>
      <c r="I2097" s="363"/>
      <c r="J2097" s="364"/>
      <c r="K2097" s="363"/>
      <c r="L2097" s="363"/>
      <c r="M2097" s="737"/>
      <c r="N2097" s="332"/>
      <c r="O2097" s="332"/>
      <c r="P2097" s="332"/>
      <c r="Q2097" s="332"/>
      <c r="R2097" s="332"/>
      <c r="S2097" s="332"/>
      <c r="T2097" s="332"/>
    </row>
    <row r="2098" spans="1:20" x14ac:dyDescent="0.6">
      <c r="A2098" s="334"/>
      <c r="B2098" s="610"/>
      <c r="C2098" s="365"/>
      <c r="D2098" s="364"/>
      <c r="E2098" s="363"/>
      <c r="F2098" s="363"/>
      <c r="G2098" s="364"/>
      <c r="H2098" s="363"/>
      <c r="I2098" s="363"/>
      <c r="J2098" s="364"/>
      <c r="K2098" s="363"/>
      <c r="L2098" s="363"/>
      <c r="M2098" s="737"/>
      <c r="N2098" s="332"/>
      <c r="O2098" s="332"/>
      <c r="P2098" s="332"/>
      <c r="Q2098" s="332"/>
      <c r="R2098" s="332"/>
      <c r="S2098" s="332"/>
      <c r="T2098" s="332"/>
    </row>
    <row r="2099" spans="1:20" x14ac:dyDescent="0.6">
      <c r="A2099" s="334"/>
      <c r="B2099" s="610"/>
      <c r="C2099" s="365"/>
      <c r="D2099" s="364"/>
      <c r="E2099" s="363"/>
      <c r="F2099" s="363"/>
      <c r="G2099" s="364"/>
      <c r="H2099" s="363"/>
      <c r="I2099" s="363"/>
      <c r="J2099" s="364"/>
      <c r="K2099" s="363"/>
      <c r="L2099" s="363"/>
      <c r="M2099" s="737"/>
      <c r="N2099" s="332"/>
      <c r="O2099" s="332"/>
      <c r="P2099" s="332"/>
      <c r="Q2099" s="332"/>
      <c r="R2099" s="332"/>
      <c r="S2099" s="332"/>
      <c r="T2099" s="332"/>
    </row>
    <row r="2100" spans="1:20" x14ac:dyDescent="0.6">
      <c r="A2100" s="334"/>
      <c r="B2100" s="610"/>
      <c r="C2100" s="365"/>
      <c r="D2100" s="364"/>
      <c r="E2100" s="363"/>
      <c r="F2100" s="363"/>
      <c r="G2100" s="364"/>
      <c r="H2100" s="363"/>
      <c r="I2100" s="363"/>
      <c r="J2100" s="364"/>
      <c r="K2100" s="363"/>
      <c r="L2100" s="363"/>
      <c r="M2100" s="737"/>
      <c r="N2100" s="332"/>
      <c r="O2100" s="332"/>
      <c r="P2100" s="332"/>
      <c r="Q2100" s="332"/>
      <c r="R2100" s="332"/>
      <c r="S2100" s="332"/>
      <c r="T2100" s="332"/>
    </row>
    <row r="2101" spans="1:20" x14ac:dyDescent="0.6">
      <c r="A2101" s="334"/>
      <c r="B2101" s="610"/>
      <c r="C2101" s="365"/>
      <c r="D2101" s="364"/>
      <c r="E2101" s="363"/>
      <c r="F2101" s="363"/>
      <c r="G2101" s="364"/>
      <c r="H2101" s="363"/>
      <c r="I2101" s="363"/>
      <c r="J2101" s="364"/>
      <c r="K2101" s="363"/>
      <c r="L2101" s="363"/>
      <c r="M2101" s="737"/>
      <c r="N2101" s="332"/>
      <c r="O2101" s="332"/>
      <c r="P2101" s="332"/>
      <c r="Q2101" s="332"/>
      <c r="R2101" s="332"/>
      <c r="S2101" s="332"/>
      <c r="T2101" s="332"/>
    </row>
    <row r="2102" spans="1:20" x14ac:dyDescent="0.6">
      <c r="A2102" s="334"/>
      <c r="B2102" s="610"/>
      <c r="C2102" s="365"/>
      <c r="D2102" s="364"/>
      <c r="E2102" s="363"/>
      <c r="F2102" s="363"/>
      <c r="G2102" s="364"/>
      <c r="H2102" s="363"/>
      <c r="I2102" s="363"/>
      <c r="J2102" s="364"/>
      <c r="K2102" s="363"/>
      <c r="L2102" s="363"/>
      <c r="M2102" s="737"/>
      <c r="N2102" s="332"/>
      <c r="O2102" s="332"/>
      <c r="P2102" s="332"/>
      <c r="Q2102" s="332"/>
      <c r="R2102" s="332"/>
      <c r="S2102" s="332"/>
      <c r="T2102" s="332"/>
    </row>
    <row r="2103" spans="1:20" x14ac:dyDescent="0.6">
      <c r="A2103" s="334"/>
      <c r="B2103" s="610"/>
      <c r="C2103" s="365"/>
      <c r="D2103" s="364"/>
      <c r="E2103" s="363"/>
      <c r="F2103" s="363"/>
      <c r="G2103" s="364"/>
      <c r="H2103" s="363"/>
      <c r="I2103" s="363"/>
      <c r="J2103" s="364"/>
      <c r="K2103" s="363"/>
      <c r="L2103" s="363"/>
      <c r="M2103" s="737"/>
      <c r="N2103" s="332"/>
      <c r="O2103" s="332"/>
      <c r="P2103" s="332"/>
      <c r="Q2103" s="332"/>
      <c r="R2103" s="332"/>
      <c r="S2103" s="332"/>
      <c r="T2103" s="332"/>
    </row>
    <row r="2104" spans="1:20" x14ac:dyDescent="0.6">
      <c r="A2104" s="334"/>
      <c r="B2104" s="610"/>
      <c r="C2104" s="365"/>
      <c r="D2104" s="364"/>
      <c r="E2104" s="363"/>
      <c r="F2104" s="363"/>
      <c r="G2104" s="364"/>
      <c r="H2104" s="363"/>
      <c r="I2104" s="363"/>
      <c r="J2104" s="364"/>
      <c r="K2104" s="363"/>
      <c r="L2104" s="363"/>
      <c r="M2104" s="737"/>
      <c r="N2104" s="332"/>
      <c r="O2104" s="332"/>
      <c r="P2104" s="332"/>
      <c r="Q2104" s="332"/>
      <c r="R2104" s="332"/>
      <c r="S2104" s="332"/>
      <c r="T2104" s="332"/>
    </row>
    <row r="2105" spans="1:20" x14ac:dyDescent="0.6">
      <c r="A2105" s="334"/>
      <c r="B2105" s="610"/>
      <c r="C2105" s="365"/>
      <c r="D2105" s="364"/>
      <c r="E2105" s="363"/>
      <c r="F2105" s="363"/>
      <c r="G2105" s="364"/>
      <c r="H2105" s="363"/>
      <c r="I2105" s="363"/>
      <c r="J2105" s="364"/>
      <c r="K2105" s="363"/>
      <c r="L2105" s="363"/>
      <c r="M2105" s="737"/>
      <c r="N2105" s="332"/>
      <c r="O2105" s="332"/>
      <c r="P2105" s="332"/>
      <c r="Q2105" s="332"/>
      <c r="R2105" s="332"/>
      <c r="S2105" s="332"/>
      <c r="T2105" s="332"/>
    </row>
    <row r="2106" spans="1:20" x14ac:dyDescent="0.6">
      <c r="A2106" s="334"/>
      <c r="B2106" s="610"/>
      <c r="C2106" s="365"/>
      <c r="D2106" s="364"/>
      <c r="E2106" s="363"/>
      <c r="F2106" s="363"/>
      <c r="G2106" s="364"/>
      <c r="H2106" s="363"/>
      <c r="I2106" s="363"/>
      <c r="J2106" s="364"/>
      <c r="K2106" s="363"/>
      <c r="L2106" s="363"/>
      <c r="M2106" s="737"/>
      <c r="N2106" s="332"/>
      <c r="O2106" s="332"/>
      <c r="P2106" s="332"/>
      <c r="Q2106" s="332"/>
      <c r="R2106" s="332"/>
      <c r="S2106" s="332"/>
      <c r="T2106" s="332"/>
    </row>
    <row r="2107" spans="1:20" x14ac:dyDescent="0.6">
      <c r="A2107" s="334"/>
      <c r="B2107" s="610"/>
      <c r="C2107" s="365"/>
      <c r="D2107" s="364"/>
      <c r="E2107" s="363"/>
      <c r="F2107" s="363"/>
      <c r="G2107" s="364"/>
      <c r="H2107" s="363"/>
      <c r="I2107" s="363"/>
      <c r="J2107" s="364"/>
      <c r="K2107" s="363"/>
      <c r="L2107" s="363"/>
      <c r="M2107" s="737"/>
      <c r="N2107" s="332"/>
      <c r="O2107" s="332"/>
      <c r="P2107" s="332"/>
      <c r="Q2107" s="332"/>
      <c r="R2107" s="332"/>
      <c r="S2107" s="332"/>
      <c r="T2107" s="332"/>
    </row>
    <row r="2108" spans="1:20" x14ac:dyDescent="0.6">
      <c r="A2108" s="334"/>
      <c r="B2108" s="610"/>
      <c r="C2108" s="365"/>
      <c r="D2108" s="364"/>
      <c r="E2108" s="363"/>
      <c r="F2108" s="363"/>
      <c r="G2108" s="364"/>
      <c r="H2108" s="363"/>
      <c r="I2108" s="363"/>
      <c r="J2108" s="364"/>
      <c r="K2108" s="363"/>
      <c r="L2108" s="363"/>
      <c r="M2108" s="737"/>
      <c r="N2108" s="332"/>
      <c r="O2108" s="332"/>
      <c r="P2108" s="332"/>
      <c r="Q2108" s="332"/>
      <c r="R2108" s="332"/>
      <c r="S2108" s="332"/>
      <c r="T2108" s="332"/>
    </row>
    <row r="2109" spans="1:20" x14ac:dyDescent="0.6">
      <c r="A2109" s="334"/>
      <c r="B2109" s="610"/>
      <c r="C2109" s="365"/>
      <c r="D2109" s="364"/>
      <c r="E2109" s="363"/>
      <c r="F2109" s="363"/>
      <c r="G2109" s="364"/>
      <c r="H2109" s="363"/>
      <c r="I2109" s="363"/>
      <c r="J2109" s="364"/>
      <c r="K2109" s="363"/>
      <c r="L2109" s="363"/>
      <c r="M2109" s="737"/>
      <c r="N2109" s="332"/>
      <c r="O2109" s="332"/>
      <c r="P2109" s="332"/>
      <c r="Q2109" s="332"/>
      <c r="R2109" s="332"/>
      <c r="S2109" s="332"/>
      <c r="T2109" s="332"/>
    </row>
    <row r="2110" spans="1:20" x14ac:dyDescent="0.6">
      <c r="A2110" s="334"/>
      <c r="B2110" s="610"/>
      <c r="C2110" s="365"/>
      <c r="D2110" s="364"/>
      <c r="E2110" s="363"/>
      <c r="F2110" s="363"/>
      <c r="G2110" s="364"/>
      <c r="H2110" s="363"/>
      <c r="I2110" s="363"/>
      <c r="J2110" s="364"/>
      <c r="K2110" s="363"/>
      <c r="L2110" s="363"/>
      <c r="M2110" s="737"/>
      <c r="N2110" s="332"/>
      <c r="O2110" s="332"/>
      <c r="P2110" s="332"/>
      <c r="Q2110" s="332"/>
      <c r="R2110" s="332"/>
      <c r="S2110" s="332"/>
      <c r="T2110" s="332"/>
    </row>
    <row r="2111" spans="1:20" x14ac:dyDescent="0.6">
      <c r="A2111" s="334"/>
      <c r="B2111" s="610"/>
      <c r="C2111" s="365"/>
      <c r="D2111" s="364"/>
      <c r="E2111" s="363"/>
      <c r="F2111" s="363"/>
      <c r="G2111" s="364"/>
      <c r="H2111" s="363"/>
      <c r="I2111" s="363"/>
      <c r="J2111" s="364"/>
      <c r="K2111" s="363"/>
      <c r="L2111" s="363"/>
      <c r="M2111" s="737"/>
      <c r="N2111" s="332"/>
      <c r="O2111" s="332"/>
      <c r="P2111" s="332"/>
      <c r="Q2111" s="332"/>
      <c r="R2111" s="332"/>
      <c r="S2111" s="332"/>
      <c r="T2111" s="332"/>
    </row>
    <row r="2112" spans="1:20" x14ac:dyDescent="0.6">
      <c r="A2112" s="334"/>
      <c r="B2112" s="610"/>
      <c r="C2112" s="365"/>
      <c r="D2112" s="364"/>
      <c r="E2112" s="363"/>
      <c r="F2112" s="363"/>
      <c r="G2112" s="364"/>
      <c r="H2112" s="363"/>
      <c r="I2112" s="363"/>
      <c r="J2112" s="364"/>
      <c r="K2112" s="363"/>
      <c r="L2112" s="363"/>
      <c r="M2112" s="737"/>
      <c r="N2112" s="332"/>
      <c r="O2112" s="332"/>
      <c r="P2112" s="332"/>
      <c r="Q2112" s="332"/>
      <c r="R2112" s="332"/>
      <c r="S2112" s="332"/>
      <c r="T2112" s="332"/>
    </row>
    <row r="2113" spans="1:20" x14ac:dyDescent="0.6">
      <c r="A2113" s="334"/>
      <c r="B2113" s="610"/>
      <c r="C2113" s="365"/>
      <c r="D2113" s="364"/>
      <c r="E2113" s="363"/>
      <c r="F2113" s="363"/>
      <c r="G2113" s="364"/>
      <c r="H2113" s="363"/>
      <c r="I2113" s="363"/>
      <c r="J2113" s="364"/>
      <c r="K2113" s="363"/>
      <c r="L2113" s="363"/>
      <c r="M2113" s="737"/>
      <c r="N2113" s="332"/>
      <c r="O2113" s="332"/>
      <c r="P2113" s="332"/>
      <c r="Q2113" s="332"/>
      <c r="R2113" s="332"/>
      <c r="S2113" s="332"/>
      <c r="T2113" s="332"/>
    </row>
    <row r="2114" spans="1:20" x14ac:dyDescent="0.6">
      <c r="A2114" s="334"/>
      <c r="B2114" s="610"/>
      <c r="C2114" s="365"/>
      <c r="D2114" s="364"/>
      <c r="E2114" s="363"/>
      <c r="F2114" s="363"/>
      <c r="G2114" s="364"/>
      <c r="H2114" s="363"/>
      <c r="I2114" s="363"/>
      <c r="J2114" s="364"/>
      <c r="K2114" s="363"/>
      <c r="L2114" s="363"/>
      <c r="M2114" s="737"/>
      <c r="N2114" s="332"/>
      <c r="O2114" s="332"/>
      <c r="P2114" s="332"/>
      <c r="Q2114" s="332"/>
      <c r="R2114" s="332"/>
      <c r="S2114" s="332"/>
      <c r="T2114" s="332"/>
    </row>
    <row r="2115" spans="1:20" x14ac:dyDescent="0.6">
      <c r="A2115" s="334"/>
      <c r="B2115" s="610"/>
      <c r="C2115" s="365"/>
      <c r="D2115" s="364"/>
      <c r="E2115" s="363"/>
      <c r="F2115" s="363"/>
      <c r="G2115" s="364"/>
      <c r="H2115" s="363"/>
      <c r="I2115" s="363"/>
      <c r="J2115" s="364"/>
      <c r="K2115" s="363"/>
      <c r="L2115" s="363"/>
      <c r="M2115" s="737"/>
      <c r="N2115" s="332"/>
      <c r="O2115" s="332"/>
      <c r="P2115" s="332"/>
      <c r="Q2115" s="332"/>
      <c r="R2115" s="332"/>
      <c r="S2115" s="332"/>
      <c r="T2115" s="332"/>
    </row>
    <row r="2116" spans="1:20" x14ac:dyDescent="0.6">
      <c r="A2116" s="334"/>
      <c r="B2116" s="610"/>
      <c r="C2116" s="365"/>
      <c r="D2116" s="364"/>
      <c r="E2116" s="363"/>
      <c r="F2116" s="363"/>
      <c r="G2116" s="364"/>
      <c r="H2116" s="363"/>
      <c r="I2116" s="363"/>
      <c r="J2116" s="364"/>
      <c r="K2116" s="363"/>
      <c r="L2116" s="363"/>
      <c r="M2116" s="737"/>
      <c r="N2116" s="332"/>
      <c r="O2116" s="332"/>
      <c r="P2116" s="332"/>
      <c r="Q2116" s="332"/>
      <c r="R2116" s="332"/>
      <c r="S2116" s="332"/>
      <c r="T2116" s="332"/>
    </row>
    <row r="2117" spans="1:20" x14ac:dyDescent="0.6">
      <c r="A2117" s="334"/>
      <c r="B2117" s="610"/>
      <c r="C2117" s="365"/>
      <c r="D2117" s="364"/>
      <c r="E2117" s="363"/>
      <c r="F2117" s="363"/>
      <c r="G2117" s="364"/>
      <c r="H2117" s="363"/>
      <c r="I2117" s="363"/>
      <c r="J2117" s="364"/>
      <c r="K2117" s="363"/>
      <c r="L2117" s="363"/>
      <c r="M2117" s="737"/>
      <c r="N2117" s="332"/>
      <c r="O2117" s="332"/>
      <c r="P2117" s="332"/>
      <c r="Q2117" s="332"/>
      <c r="R2117" s="332"/>
      <c r="S2117" s="332"/>
      <c r="T2117" s="332"/>
    </row>
    <row r="2118" spans="1:20" x14ac:dyDescent="0.6">
      <c r="A2118" s="334"/>
      <c r="B2118" s="610"/>
      <c r="C2118" s="365"/>
      <c r="D2118" s="364"/>
      <c r="E2118" s="363"/>
      <c r="F2118" s="363"/>
      <c r="G2118" s="364"/>
      <c r="H2118" s="363"/>
      <c r="I2118" s="363"/>
      <c r="J2118" s="364"/>
      <c r="K2118" s="363"/>
      <c r="L2118" s="363"/>
      <c r="M2118" s="737"/>
      <c r="N2118" s="332"/>
      <c r="O2118" s="332"/>
      <c r="P2118" s="332"/>
      <c r="Q2118" s="332"/>
      <c r="R2118" s="332"/>
      <c r="S2118" s="332"/>
      <c r="T2118" s="332"/>
    </row>
    <row r="2119" spans="1:20" x14ac:dyDescent="0.6">
      <c r="A2119" s="334"/>
      <c r="B2119" s="610"/>
      <c r="C2119" s="365"/>
      <c r="D2119" s="364"/>
      <c r="E2119" s="363"/>
      <c r="F2119" s="363"/>
      <c r="G2119" s="364"/>
      <c r="H2119" s="363"/>
      <c r="I2119" s="363"/>
      <c r="J2119" s="364"/>
      <c r="K2119" s="363"/>
      <c r="L2119" s="363"/>
      <c r="M2119" s="737"/>
      <c r="N2119" s="332"/>
      <c r="O2119" s="332"/>
      <c r="P2119" s="332"/>
      <c r="Q2119" s="332"/>
      <c r="R2119" s="332"/>
      <c r="S2119" s="332"/>
      <c r="T2119" s="332"/>
    </row>
    <row r="2120" spans="1:20" x14ac:dyDescent="0.6">
      <c r="A2120" s="334"/>
      <c r="B2120" s="610"/>
      <c r="C2120" s="365"/>
      <c r="D2120" s="364"/>
      <c r="E2120" s="363"/>
      <c r="F2120" s="363"/>
      <c r="G2120" s="364"/>
      <c r="H2120" s="363"/>
      <c r="I2120" s="363"/>
      <c r="J2120" s="364"/>
      <c r="K2120" s="363"/>
      <c r="L2120" s="363"/>
      <c r="M2120" s="737"/>
      <c r="N2120" s="332"/>
      <c r="O2120" s="332"/>
      <c r="P2120" s="332"/>
      <c r="Q2120" s="332"/>
      <c r="R2120" s="332"/>
      <c r="S2120" s="332"/>
      <c r="T2120" s="332"/>
    </row>
    <row r="2121" spans="1:20" x14ac:dyDescent="0.6">
      <c r="A2121" s="334"/>
      <c r="B2121" s="610"/>
      <c r="C2121" s="365"/>
      <c r="D2121" s="364"/>
      <c r="E2121" s="363"/>
      <c r="F2121" s="363"/>
      <c r="G2121" s="364"/>
      <c r="H2121" s="363"/>
      <c r="I2121" s="363"/>
      <c r="J2121" s="364"/>
      <c r="K2121" s="363"/>
      <c r="L2121" s="363"/>
      <c r="M2121" s="737"/>
      <c r="N2121" s="332"/>
      <c r="O2121" s="332"/>
      <c r="P2121" s="332"/>
      <c r="Q2121" s="332"/>
      <c r="R2121" s="332"/>
      <c r="S2121" s="332"/>
      <c r="T2121" s="332"/>
    </row>
    <row r="2122" spans="1:20" x14ac:dyDescent="0.6">
      <c r="A2122" s="334"/>
      <c r="B2122" s="610"/>
      <c r="C2122" s="365"/>
      <c r="D2122" s="364"/>
      <c r="E2122" s="363"/>
      <c r="F2122" s="363"/>
      <c r="G2122" s="364"/>
      <c r="H2122" s="363"/>
      <c r="I2122" s="363"/>
      <c r="J2122" s="364"/>
      <c r="K2122" s="363"/>
      <c r="L2122" s="363"/>
      <c r="M2122" s="737"/>
      <c r="N2122" s="332"/>
      <c r="O2122" s="332"/>
      <c r="P2122" s="332"/>
      <c r="Q2122" s="332"/>
      <c r="R2122" s="332"/>
      <c r="S2122" s="332"/>
      <c r="T2122" s="332"/>
    </row>
    <row r="2123" spans="1:20" x14ac:dyDescent="0.6">
      <c r="A2123" s="334"/>
      <c r="B2123" s="610"/>
      <c r="C2123" s="365"/>
      <c r="D2123" s="364"/>
      <c r="E2123" s="363"/>
      <c r="F2123" s="363"/>
      <c r="G2123" s="364"/>
      <c r="H2123" s="363"/>
      <c r="I2123" s="363"/>
      <c r="J2123" s="364"/>
      <c r="K2123" s="363"/>
      <c r="L2123" s="363"/>
      <c r="M2123" s="737"/>
      <c r="N2123" s="332"/>
      <c r="O2123" s="332"/>
      <c r="P2123" s="332"/>
      <c r="Q2123" s="332"/>
      <c r="R2123" s="332"/>
      <c r="S2123" s="332"/>
      <c r="T2123" s="332"/>
    </row>
    <row r="2124" spans="1:20" x14ac:dyDescent="0.6">
      <c r="A2124" s="334"/>
      <c r="B2124" s="610"/>
      <c r="C2124" s="365"/>
      <c r="D2124" s="364"/>
      <c r="E2124" s="363"/>
      <c r="F2124" s="363"/>
      <c r="G2124" s="364"/>
      <c r="H2124" s="363"/>
      <c r="I2124" s="363"/>
      <c r="J2124" s="364"/>
      <c r="K2124" s="363"/>
      <c r="L2124" s="363"/>
      <c r="M2124" s="737"/>
      <c r="N2124" s="332"/>
      <c r="O2124" s="332"/>
      <c r="P2124" s="332"/>
      <c r="Q2124" s="332"/>
      <c r="R2124" s="332"/>
      <c r="S2124" s="332"/>
      <c r="T2124" s="332"/>
    </row>
    <row r="2125" spans="1:20" x14ac:dyDescent="0.6">
      <c r="A2125" s="334"/>
      <c r="B2125" s="610"/>
      <c r="C2125" s="365"/>
      <c r="D2125" s="364"/>
      <c r="E2125" s="363"/>
      <c r="F2125" s="363"/>
      <c r="G2125" s="364"/>
      <c r="H2125" s="363"/>
      <c r="I2125" s="363"/>
      <c r="J2125" s="364"/>
      <c r="K2125" s="363"/>
      <c r="L2125" s="363"/>
      <c r="M2125" s="737"/>
      <c r="N2125" s="332"/>
      <c r="O2125" s="332"/>
      <c r="P2125" s="332"/>
      <c r="Q2125" s="332"/>
      <c r="R2125" s="332"/>
      <c r="S2125" s="332"/>
      <c r="T2125" s="332"/>
    </row>
    <row r="2126" spans="1:20" x14ac:dyDescent="0.6">
      <c r="A2126" s="334"/>
      <c r="B2126" s="610"/>
      <c r="C2126" s="365"/>
      <c r="D2126" s="364"/>
      <c r="E2126" s="363"/>
      <c r="F2126" s="363"/>
      <c r="G2126" s="364"/>
      <c r="H2126" s="363"/>
      <c r="I2126" s="363"/>
      <c r="J2126" s="364"/>
      <c r="K2126" s="363"/>
      <c r="L2126" s="363"/>
      <c r="M2126" s="737"/>
      <c r="N2126" s="332"/>
      <c r="O2126" s="332"/>
      <c r="P2126" s="332"/>
      <c r="Q2126" s="332"/>
      <c r="R2126" s="332"/>
      <c r="S2126" s="332"/>
      <c r="T2126" s="332"/>
    </row>
    <row r="2127" spans="1:20" x14ac:dyDescent="0.6">
      <c r="A2127" s="334"/>
      <c r="B2127" s="610"/>
      <c r="C2127" s="365"/>
      <c r="D2127" s="364"/>
      <c r="E2127" s="363"/>
      <c r="F2127" s="363"/>
      <c r="G2127" s="364"/>
      <c r="H2127" s="363"/>
      <c r="I2127" s="363"/>
      <c r="J2127" s="364"/>
      <c r="K2127" s="363"/>
      <c r="L2127" s="363"/>
      <c r="M2127" s="737"/>
      <c r="N2127" s="332"/>
      <c r="O2127" s="332"/>
      <c r="P2127" s="332"/>
      <c r="Q2127" s="332"/>
      <c r="R2127" s="332"/>
      <c r="S2127" s="332"/>
      <c r="T2127" s="332"/>
    </row>
    <row r="2128" spans="1:20" x14ac:dyDescent="0.6">
      <c r="A2128" s="334"/>
      <c r="B2128" s="610"/>
      <c r="C2128" s="365"/>
      <c r="D2128" s="364"/>
      <c r="E2128" s="363"/>
      <c r="F2128" s="363"/>
      <c r="G2128" s="364"/>
      <c r="H2128" s="363"/>
      <c r="I2128" s="363"/>
      <c r="J2128" s="364"/>
      <c r="K2128" s="363"/>
      <c r="L2128" s="363"/>
      <c r="M2128" s="737"/>
      <c r="N2128" s="332"/>
      <c r="O2128" s="332"/>
      <c r="P2128" s="332"/>
      <c r="Q2128" s="332"/>
      <c r="R2128" s="332"/>
      <c r="S2128" s="332"/>
      <c r="T2128" s="332"/>
    </row>
    <row r="2129" spans="1:20" x14ac:dyDescent="0.6">
      <c r="A2129" s="334"/>
      <c r="B2129" s="610"/>
      <c r="C2129" s="365"/>
      <c r="D2129" s="364"/>
      <c r="E2129" s="363"/>
      <c r="F2129" s="363"/>
      <c r="G2129" s="364"/>
      <c r="H2129" s="363"/>
      <c r="I2129" s="363"/>
      <c r="J2129" s="364"/>
      <c r="K2129" s="363"/>
      <c r="L2129" s="363"/>
      <c r="M2129" s="737"/>
      <c r="N2129" s="332"/>
      <c r="O2129" s="332"/>
      <c r="P2129" s="332"/>
      <c r="Q2129" s="332"/>
      <c r="R2129" s="332"/>
      <c r="S2129" s="332"/>
      <c r="T2129" s="332"/>
    </row>
    <row r="2130" spans="1:20" x14ac:dyDescent="0.6">
      <c r="A2130" s="334"/>
      <c r="B2130" s="610"/>
      <c r="C2130" s="365"/>
      <c r="D2130" s="364"/>
      <c r="E2130" s="363"/>
      <c r="F2130" s="363"/>
      <c r="G2130" s="364"/>
      <c r="H2130" s="363"/>
      <c r="I2130" s="363"/>
      <c r="J2130" s="364"/>
      <c r="K2130" s="363"/>
      <c r="L2130" s="363"/>
      <c r="M2130" s="737"/>
      <c r="N2130" s="332"/>
      <c r="O2130" s="332"/>
      <c r="P2130" s="332"/>
      <c r="Q2130" s="332"/>
      <c r="R2130" s="332"/>
      <c r="S2130" s="332"/>
      <c r="T2130" s="332"/>
    </row>
    <row r="2131" spans="1:20" x14ac:dyDescent="0.6">
      <c r="A2131" s="334"/>
      <c r="B2131" s="610"/>
      <c r="C2131" s="365"/>
      <c r="D2131" s="364"/>
      <c r="E2131" s="363"/>
      <c r="F2131" s="363"/>
      <c r="G2131" s="364"/>
      <c r="H2131" s="363"/>
      <c r="I2131" s="363"/>
      <c r="J2131" s="364"/>
      <c r="K2131" s="363"/>
      <c r="L2131" s="363"/>
      <c r="M2131" s="737"/>
      <c r="N2131" s="332"/>
      <c r="O2131" s="332"/>
      <c r="P2131" s="332"/>
      <c r="Q2131" s="332"/>
      <c r="R2131" s="332"/>
      <c r="S2131" s="332"/>
      <c r="T2131" s="332"/>
    </row>
    <row r="2132" spans="1:20" x14ac:dyDescent="0.6">
      <c r="A2132" s="334"/>
      <c r="B2132" s="610"/>
      <c r="C2132" s="365"/>
      <c r="D2132" s="364"/>
      <c r="E2132" s="363"/>
      <c r="F2132" s="363"/>
      <c r="G2132" s="364"/>
      <c r="H2132" s="363"/>
      <c r="I2132" s="363"/>
      <c r="J2132" s="364"/>
      <c r="K2132" s="363"/>
      <c r="L2132" s="363"/>
      <c r="M2132" s="737"/>
      <c r="N2132" s="332"/>
      <c r="O2132" s="332"/>
      <c r="P2132" s="332"/>
      <c r="Q2132" s="332"/>
      <c r="R2132" s="332"/>
      <c r="S2132" s="332"/>
      <c r="T2132" s="332"/>
    </row>
    <row r="2133" spans="1:20" x14ac:dyDescent="0.6">
      <c r="A2133" s="334"/>
      <c r="B2133" s="610"/>
      <c r="C2133" s="365"/>
      <c r="D2133" s="364"/>
      <c r="E2133" s="363"/>
      <c r="F2133" s="363"/>
      <c r="G2133" s="364"/>
      <c r="H2133" s="363"/>
      <c r="I2133" s="363"/>
      <c r="J2133" s="364"/>
      <c r="K2133" s="363"/>
      <c r="L2133" s="363"/>
      <c r="M2133" s="737"/>
      <c r="N2133" s="332"/>
      <c r="O2133" s="332"/>
      <c r="P2133" s="332"/>
      <c r="Q2133" s="332"/>
      <c r="R2133" s="332"/>
      <c r="S2133" s="332"/>
      <c r="T2133" s="332"/>
    </row>
    <row r="2134" spans="1:20" x14ac:dyDescent="0.6">
      <c r="A2134" s="334"/>
      <c r="B2134" s="610"/>
      <c r="C2134" s="365"/>
      <c r="D2134" s="364"/>
      <c r="E2134" s="363"/>
      <c r="F2134" s="363"/>
      <c r="G2134" s="364"/>
      <c r="H2134" s="363"/>
      <c r="I2134" s="363"/>
      <c r="J2134" s="364"/>
      <c r="K2134" s="363"/>
      <c r="L2134" s="363"/>
      <c r="M2134" s="737"/>
      <c r="N2134" s="332"/>
      <c r="O2134" s="332"/>
      <c r="P2134" s="332"/>
      <c r="Q2134" s="332"/>
      <c r="R2134" s="332"/>
      <c r="S2134" s="332"/>
      <c r="T2134" s="332"/>
    </row>
    <row r="2135" spans="1:20" x14ac:dyDescent="0.6">
      <c r="A2135" s="334"/>
      <c r="B2135" s="610"/>
      <c r="C2135" s="365"/>
      <c r="D2135" s="364"/>
      <c r="E2135" s="363"/>
      <c r="F2135" s="363"/>
      <c r="G2135" s="364"/>
      <c r="H2135" s="363"/>
      <c r="I2135" s="363"/>
      <c r="J2135" s="364"/>
      <c r="K2135" s="363"/>
      <c r="L2135" s="363"/>
      <c r="M2135" s="737"/>
      <c r="N2135" s="332"/>
      <c r="O2135" s="332"/>
      <c r="P2135" s="332"/>
      <c r="Q2135" s="332"/>
      <c r="R2135" s="332"/>
      <c r="S2135" s="332"/>
      <c r="T2135" s="332"/>
    </row>
    <row r="2136" spans="1:20" x14ac:dyDescent="0.6">
      <c r="A2136" s="334"/>
      <c r="B2136" s="610"/>
      <c r="C2136" s="365"/>
      <c r="D2136" s="364"/>
      <c r="E2136" s="363"/>
      <c r="F2136" s="363"/>
      <c r="G2136" s="364"/>
      <c r="H2136" s="363"/>
      <c r="I2136" s="363"/>
      <c r="J2136" s="364"/>
      <c r="K2136" s="363"/>
      <c r="L2136" s="363"/>
      <c r="M2136" s="737"/>
      <c r="N2136" s="332"/>
      <c r="O2136" s="332"/>
      <c r="P2136" s="332"/>
      <c r="Q2136" s="332"/>
      <c r="R2136" s="332"/>
      <c r="S2136" s="332"/>
      <c r="T2136" s="332"/>
    </row>
    <row r="2137" spans="1:20" x14ac:dyDescent="0.6">
      <c r="A2137" s="334"/>
      <c r="B2137" s="610"/>
      <c r="C2137" s="365"/>
      <c r="D2137" s="364"/>
      <c r="E2137" s="363"/>
      <c r="F2137" s="363"/>
      <c r="G2137" s="364"/>
      <c r="H2137" s="363"/>
      <c r="I2137" s="363"/>
      <c r="J2137" s="364"/>
      <c r="K2137" s="363"/>
      <c r="L2137" s="363"/>
      <c r="M2137" s="737"/>
      <c r="N2137" s="332"/>
      <c r="O2137" s="332"/>
      <c r="P2137" s="332"/>
      <c r="Q2137" s="332"/>
      <c r="R2137" s="332"/>
      <c r="S2137" s="332"/>
      <c r="T2137" s="332"/>
    </row>
    <row r="2138" spans="1:20" x14ac:dyDescent="0.6">
      <c r="A2138" s="334"/>
      <c r="B2138" s="610"/>
      <c r="C2138" s="365"/>
      <c r="D2138" s="364"/>
      <c r="E2138" s="363"/>
      <c r="F2138" s="363"/>
      <c r="G2138" s="364"/>
      <c r="H2138" s="363"/>
      <c r="I2138" s="363"/>
      <c r="J2138" s="364"/>
      <c r="K2138" s="363"/>
      <c r="L2138" s="363"/>
      <c r="M2138" s="737"/>
      <c r="N2138" s="332"/>
      <c r="O2138" s="332"/>
      <c r="P2138" s="332"/>
      <c r="Q2138" s="332"/>
      <c r="R2138" s="332"/>
      <c r="S2138" s="332"/>
      <c r="T2138" s="332"/>
    </row>
    <row r="2139" spans="1:20" x14ac:dyDescent="0.6">
      <c r="A2139" s="334"/>
      <c r="B2139" s="610"/>
      <c r="C2139" s="365"/>
      <c r="D2139" s="364"/>
      <c r="E2139" s="363"/>
      <c r="F2139" s="363"/>
      <c r="G2139" s="364"/>
      <c r="H2139" s="363"/>
      <c r="I2139" s="363"/>
      <c r="J2139" s="364"/>
      <c r="K2139" s="363"/>
      <c r="L2139" s="363"/>
      <c r="M2139" s="737"/>
      <c r="N2139" s="332"/>
      <c r="O2139" s="332"/>
      <c r="P2139" s="332"/>
      <c r="Q2139" s="332"/>
      <c r="R2139" s="332"/>
      <c r="S2139" s="332"/>
      <c r="T2139" s="332"/>
    </row>
    <row r="2140" spans="1:20" x14ac:dyDescent="0.6">
      <c r="A2140" s="334"/>
      <c r="B2140" s="610"/>
      <c r="C2140" s="365"/>
      <c r="D2140" s="364"/>
      <c r="E2140" s="363"/>
      <c r="F2140" s="363"/>
      <c r="G2140" s="364"/>
      <c r="H2140" s="363"/>
      <c r="I2140" s="363"/>
      <c r="J2140" s="364"/>
      <c r="K2140" s="363"/>
      <c r="L2140" s="363"/>
      <c r="M2140" s="737"/>
      <c r="N2140" s="332"/>
      <c r="O2140" s="332"/>
      <c r="P2140" s="332"/>
      <c r="Q2140" s="332"/>
      <c r="R2140" s="332"/>
      <c r="S2140" s="332"/>
      <c r="T2140" s="332"/>
    </row>
    <row r="2141" spans="1:20" x14ac:dyDescent="0.6">
      <c r="A2141" s="334"/>
      <c r="B2141" s="610"/>
      <c r="C2141" s="365"/>
      <c r="D2141" s="364"/>
      <c r="E2141" s="363"/>
      <c r="F2141" s="363"/>
      <c r="G2141" s="364"/>
      <c r="H2141" s="363"/>
      <c r="I2141" s="363"/>
      <c r="J2141" s="364"/>
      <c r="K2141" s="363"/>
      <c r="L2141" s="363"/>
      <c r="M2141" s="737"/>
      <c r="N2141" s="332"/>
      <c r="O2141" s="332"/>
      <c r="P2141" s="332"/>
      <c r="Q2141" s="332"/>
      <c r="R2141" s="332"/>
      <c r="S2141" s="332"/>
      <c r="T2141" s="332"/>
    </row>
    <row r="2142" spans="1:20" x14ac:dyDescent="0.6">
      <c r="A2142" s="334"/>
      <c r="B2142" s="610"/>
      <c r="C2142" s="365"/>
      <c r="D2142" s="364"/>
      <c r="E2142" s="363"/>
      <c r="F2142" s="363"/>
      <c r="G2142" s="364"/>
      <c r="H2142" s="363"/>
      <c r="I2142" s="363"/>
      <c r="J2142" s="364"/>
      <c r="K2142" s="363"/>
      <c r="L2142" s="363"/>
      <c r="M2142" s="737"/>
      <c r="N2142" s="332"/>
      <c r="O2142" s="332"/>
      <c r="P2142" s="332"/>
      <c r="Q2142" s="332"/>
      <c r="R2142" s="332"/>
      <c r="S2142" s="332"/>
      <c r="T2142" s="332"/>
    </row>
    <row r="2143" spans="1:20" x14ac:dyDescent="0.6">
      <c r="A2143" s="334"/>
      <c r="B2143" s="610"/>
      <c r="C2143" s="365"/>
      <c r="D2143" s="364"/>
      <c r="E2143" s="363"/>
      <c r="F2143" s="363"/>
      <c r="G2143" s="364"/>
      <c r="H2143" s="363"/>
      <c r="I2143" s="363"/>
      <c r="J2143" s="364"/>
      <c r="K2143" s="363"/>
      <c r="L2143" s="363"/>
      <c r="M2143" s="737"/>
      <c r="N2143" s="332"/>
      <c r="O2143" s="332"/>
      <c r="P2143" s="332"/>
      <c r="Q2143" s="332"/>
      <c r="R2143" s="332"/>
      <c r="S2143" s="332"/>
      <c r="T2143" s="332"/>
    </row>
    <row r="2144" spans="1:20" x14ac:dyDescent="0.6">
      <c r="A2144" s="334"/>
      <c r="B2144" s="610"/>
      <c r="C2144" s="365"/>
      <c r="D2144" s="364"/>
      <c r="E2144" s="363"/>
      <c r="F2144" s="363"/>
      <c r="G2144" s="364"/>
      <c r="H2144" s="363"/>
      <c r="I2144" s="363"/>
      <c r="J2144" s="364"/>
      <c r="K2144" s="363"/>
      <c r="L2144" s="363"/>
      <c r="M2144" s="737"/>
      <c r="N2144" s="332"/>
      <c r="O2144" s="332"/>
      <c r="P2144" s="332"/>
      <c r="Q2144" s="332"/>
      <c r="R2144" s="332"/>
      <c r="S2144" s="332"/>
      <c r="T2144" s="332"/>
    </row>
    <row r="2145" spans="1:20" x14ac:dyDescent="0.6">
      <c r="A2145" s="334"/>
      <c r="B2145" s="610"/>
      <c r="C2145" s="365"/>
      <c r="D2145" s="364"/>
      <c r="E2145" s="363"/>
      <c r="F2145" s="363"/>
      <c r="G2145" s="364"/>
      <c r="H2145" s="363"/>
      <c r="I2145" s="363"/>
      <c r="J2145" s="364"/>
      <c r="K2145" s="363"/>
      <c r="L2145" s="363"/>
      <c r="M2145" s="737"/>
      <c r="N2145" s="332"/>
      <c r="O2145" s="332"/>
      <c r="P2145" s="332"/>
      <c r="Q2145" s="332"/>
      <c r="R2145" s="332"/>
      <c r="S2145" s="332"/>
      <c r="T2145" s="332"/>
    </row>
    <row r="2146" spans="1:20" x14ac:dyDescent="0.6">
      <c r="A2146" s="334"/>
      <c r="B2146" s="610"/>
      <c r="C2146" s="365"/>
      <c r="D2146" s="364"/>
      <c r="E2146" s="363"/>
      <c r="F2146" s="363"/>
      <c r="G2146" s="364"/>
      <c r="H2146" s="363"/>
      <c r="I2146" s="363"/>
      <c r="J2146" s="364"/>
      <c r="K2146" s="363"/>
      <c r="L2146" s="363"/>
      <c r="M2146" s="737"/>
      <c r="N2146" s="332"/>
      <c r="O2146" s="332"/>
      <c r="P2146" s="332"/>
      <c r="Q2146" s="332"/>
      <c r="R2146" s="332"/>
      <c r="S2146" s="332"/>
      <c r="T2146" s="332"/>
    </row>
    <row r="2147" spans="1:20" x14ac:dyDescent="0.6">
      <c r="A2147" s="334"/>
      <c r="B2147" s="610"/>
      <c r="C2147" s="365"/>
      <c r="D2147" s="364"/>
      <c r="E2147" s="363"/>
      <c r="F2147" s="363"/>
      <c r="G2147" s="364"/>
      <c r="H2147" s="363"/>
      <c r="I2147" s="363"/>
      <c r="J2147" s="364"/>
      <c r="K2147" s="363"/>
      <c r="L2147" s="363"/>
      <c r="M2147" s="737"/>
      <c r="N2147" s="332"/>
      <c r="O2147" s="332"/>
      <c r="P2147" s="332"/>
      <c r="Q2147" s="332"/>
      <c r="R2147" s="332"/>
      <c r="S2147" s="332"/>
      <c r="T2147" s="332"/>
    </row>
    <row r="2148" spans="1:20" x14ac:dyDescent="0.6">
      <c r="A2148" s="334"/>
      <c r="B2148" s="610"/>
      <c r="C2148" s="365"/>
      <c r="D2148" s="364"/>
      <c r="E2148" s="363"/>
      <c r="F2148" s="363"/>
      <c r="G2148" s="364"/>
      <c r="H2148" s="363"/>
      <c r="I2148" s="363"/>
      <c r="J2148" s="364"/>
      <c r="K2148" s="363"/>
      <c r="L2148" s="363"/>
      <c r="M2148" s="737"/>
      <c r="N2148" s="332"/>
      <c r="O2148" s="332"/>
      <c r="P2148" s="332"/>
      <c r="Q2148" s="332"/>
      <c r="R2148" s="332"/>
      <c r="S2148" s="332"/>
      <c r="T2148" s="332"/>
    </row>
    <row r="2149" spans="1:20" x14ac:dyDescent="0.6">
      <c r="A2149" s="334"/>
      <c r="B2149" s="610"/>
      <c r="C2149" s="365"/>
      <c r="D2149" s="364"/>
      <c r="E2149" s="363"/>
      <c r="F2149" s="363"/>
      <c r="G2149" s="364"/>
      <c r="H2149" s="363"/>
      <c r="I2149" s="363"/>
      <c r="J2149" s="364"/>
      <c r="K2149" s="363"/>
      <c r="L2149" s="363"/>
      <c r="M2149" s="737"/>
      <c r="N2149" s="332"/>
      <c r="O2149" s="332"/>
      <c r="P2149" s="332"/>
      <c r="Q2149" s="332"/>
      <c r="R2149" s="332"/>
      <c r="S2149" s="332"/>
      <c r="T2149" s="332"/>
    </row>
    <row r="2150" spans="1:20" x14ac:dyDescent="0.6">
      <c r="A2150" s="334"/>
      <c r="B2150" s="610"/>
      <c r="C2150" s="365"/>
      <c r="D2150" s="364"/>
      <c r="E2150" s="363"/>
      <c r="F2150" s="363"/>
      <c r="G2150" s="364"/>
      <c r="H2150" s="363"/>
      <c r="I2150" s="363"/>
      <c r="J2150" s="364"/>
      <c r="K2150" s="363"/>
      <c r="L2150" s="363"/>
      <c r="M2150" s="737"/>
      <c r="N2150" s="332"/>
      <c r="O2150" s="332"/>
      <c r="P2150" s="332"/>
      <c r="Q2150" s="332"/>
      <c r="R2150" s="332"/>
      <c r="S2150" s="332"/>
      <c r="T2150" s="332"/>
    </row>
    <row r="2151" spans="1:20" x14ac:dyDescent="0.6">
      <c r="A2151" s="334"/>
      <c r="B2151" s="610"/>
      <c r="C2151" s="365"/>
      <c r="D2151" s="364"/>
      <c r="E2151" s="363"/>
      <c r="F2151" s="363"/>
      <c r="G2151" s="364"/>
      <c r="H2151" s="363"/>
      <c r="I2151" s="363"/>
      <c r="J2151" s="364"/>
      <c r="K2151" s="363"/>
      <c r="L2151" s="363"/>
      <c r="M2151" s="737"/>
      <c r="N2151" s="332"/>
      <c r="O2151" s="332"/>
      <c r="P2151" s="332"/>
      <c r="Q2151" s="332"/>
      <c r="R2151" s="332"/>
      <c r="S2151" s="332"/>
      <c r="T2151" s="332"/>
    </row>
    <row r="2152" spans="1:20" x14ac:dyDescent="0.6">
      <c r="A2152" s="334"/>
      <c r="B2152" s="610"/>
      <c r="C2152" s="365"/>
      <c r="D2152" s="364"/>
      <c r="E2152" s="363"/>
      <c r="F2152" s="363"/>
      <c r="G2152" s="364"/>
      <c r="H2152" s="363"/>
      <c r="I2152" s="363"/>
      <c r="J2152" s="364"/>
      <c r="K2152" s="363"/>
      <c r="L2152" s="363"/>
      <c r="M2152" s="737"/>
      <c r="N2152" s="332"/>
      <c r="O2152" s="332"/>
      <c r="P2152" s="332"/>
      <c r="Q2152" s="332"/>
      <c r="R2152" s="332"/>
      <c r="S2152" s="332"/>
      <c r="T2152" s="332"/>
    </row>
    <row r="2153" spans="1:20" x14ac:dyDescent="0.6">
      <c r="A2153" s="334"/>
      <c r="B2153" s="610"/>
      <c r="C2153" s="365"/>
      <c r="D2153" s="364"/>
      <c r="E2153" s="363"/>
      <c r="F2153" s="363"/>
      <c r="G2153" s="364"/>
      <c r="H2153" s="363"/>
      <c r="I2153" s="363"/>
      <c r="J2153" s="364"/>
      <c r="K2153" s="363"/>
      <c r="L2153" s="363"/>
      <c r="M2153" s="737"/>
      <c r="N2153" s="332"/>
      <c r="O2153" s="332"/>
      <c r="P2153" s="332"/>
      <c r="Q2153" s="332"/>
      <c r="R2153" s="332"/>
      <c r="S2153" s="332"/>
      <c r="T2153" s="332"/>
    </row>
    <row r="2154" spans="1:20" x14ac:dyDescent="0.6">
      <c r="A2154" s="334"/>
      <c r="B2154" s="610"/>
      <c r="C2154" s="365"/>
      <c r="D2154" s="364"/>
      <c r="E2154" s="363"/>
      <c r="F2154" s="363"/>
      <c r="G2154" s="364"/>
      <c r="H2154" s="363"/>
      <c r="I2154" s="363"/>
      <c r="J2154" s="364"/>
      <c r="K2154" s="363"/>
      <c r="L2154" s="363"/>
      <c r="M2154" s="737"/>
      <c r="N2154" s="332"/>
      <c r="O2154" s="332"/>
      <c r="P2154" s="332"/>
      <c r="Q2154" s="332"/>
      <c r="R2154" s="332"/>
      <c r="S2154" s="332"/>
      <c r="T2154" s="332"/>
    </row>
    <row r="2155" spans="1:20" x14ac:dyDescent="0.6">
      <c r="A2155" s="334"/>
      <c r="B2155" s="610"/>
      <c r="C2155" s="365"/>
      <c r="D2155" s="364"/>
      <c r="E2155" s="363"/>
      <c r="F2155" s="363"/>
      <c r="G2155" s="364"/>
      <c r="H2155" s="363"/>
      <c r="I2155" s="363"/>
      <c r="J2155" s="364"/>
      <c r="K2155" s="363"/>
      <c r="L2155" s="363"/>
      <c r="M2155" s="737"/>
      <c r="N2155" s="332"/>
      <c r="O2155" s="332"/>
      <c r="P2155" s="332"/>
      <c r="Q2155" s="332"/>
      <c r="R2155" s="332"/>
      <c r="S2155" s="332"/>
      <c r="T2155" s="332"/>
    </row>
    <row r="2156" spans="1:20" x14ac:dyDescent="0.6">
      <c r="A2156" s="334"/>
      <c r="B2156" s="610"/>
      <c r="C2156" s="365"/>
      <c r="D2156" s="364"/>
      <c r="E2156" s="363"/>
      <c r="F2156" s="363"/>
      <c r="G2156" s="364"/>
      <c r="H2156" s="363"/>
      <c r="I2156" s="363"/>
      <c r="J2156" s="364"/>
      <c r="K2156" s="363"/>
      <c r="L2156" s="363"/>
      <c r="M2156" s="737"/>
      <c r="N2156" s="332"/>
      <c r="O2156" s="332"/>
      <c r="P2156" s="332"/>
      <c r="Q2156" s="332"/>
      <c r="R2156" s="332"/>
      <c r="S2156" s="332"/>
      <c r="T2156" s="332"/>
    </row>
    <row r="2157" spans="1:20" x14ac:dyDescent="0.6">
      <c r="A2157" s="334"/>
      <c r="B2157" s="610"/>
      <c r="C2157" s="365"/>
      <c r="D2157" s="364"/>
      <c r="E2157" s="363"/>
      <c r="F2157" s="363"/>
      <c r="G2157" s="364"/>
      <c r="H2157" s="363"/>
      <c r="I2157" s="363"/>
      <c r="J2157" s="364"/>
      <c r="K2157" s="363"/>
      <c r="L2157" s="363"/>
      <c r="M2157" s="737"/>
      <c r="N2157" s="332"/>
      <c r="O2157" s="332"/>
      <c r="P2157" s="332"/>
      <c r="Q2157" s="332"/>
      <c r="R2157" s="332"/>
      <c r="S2157" s="332"/>
      <c r="T2157" s="332"/>
    </row>
    <row r="2158" spans="1:20" x14ac:dyDescent="0.6">
      <c r="A2158" s="334"/>
      <c r="B2158" s="610"/>
      <c r="C2158" s="365"/>
      <c r="D2158" s="364"/>
      <c r="E2158" s="363"/>
      <c r="F2158" s="363"/>
      <c r="G2158" s="364"/>
      <c r="H2158" s="363"/>
      <c r="I2158" s="363"/>
      <c r="J2158" s="364"/>
      <c r="K2158" s="363"/>
      <c r="L2158" s="363"/>
      <c r="M2158" s="737"/>
      <c r="N2158" s="332"/>
      <c r="O2158" s="332"/>
      <c r="P2158" s="332"/>
      <c r="Q2158" s="332"/>
      <c r="R2158" s="332"/>
      <c r="S2158" s="332"/>
      <c r="T2158" s="332"/>
    </row>
    <row r="2159" spans="1:20" x14ac:dyDescent="0.6">
      <c r="A2159" s="334"/>
      <c r="B2159" s="610"/>
      <c r="C2159" s="365"/>
      <c r="D2159" s="364"/>
      <c r="E2159" s="363"/>
      <c r="F2159" s="363"/>
      <c r="G2159" s="364"/>
      <c r="H2159" s="363"/>
      <c r="I2159" s="363"/>
      <c r="J2159" s="364"/>
      <c r="K2159" s="363"/>
      <c r="L2159" s="363"/>
      <c r="M2159" s="737"/>
      <c r="N2159" s="332"/>
      <c r="O2159" s="332"/>
      <c r="P2159" s="332"/>
      <c r="Q2159" s="332"/>
      <c r="R2159" s="332"/>
      <c r="S2159" s="332"/>
      <c r="T2159" s="332"/>
    </row>
    <row r="2160" spans="1:20" x14ac:dyDescent="0.6">
      <c r="A2160" s="334"/>
      <c r="B2160" s="610"/>
      <c r="C2160" s="365"/>
      <c r="D2160" s="364"/>
      <c r="E2160" s="363"/>
      <c r="F2160" s="363"/>
      <c r="G2160" s="364"/>
      <c r="H2160" s="363"/>
      <c r="I2160" s="363"/>
      <c r="J2160" s="364"/>
      <c r="K2160" s="363"/>
      <c r="L2160" s="363"/>
      <c r="M2160" s="737"/>
      <c r="N2160" s="332"/>
      <c r="O2160" s="332"/>
      <c r="P2160" s="332"/>
      <c r="Q2160" s="332"/>
      <c r="R2160" s="332"/>
      <c r="S2160" s="332"/>
      <c r="T2160" s="332"/>
    </row>
    <row r="2161" spans="1:20" x14ac:dyDescent="0.6">
      <c r="A2161" s="334"/>
      <c r="B2161" s="610"/>
      <c r="C2161" s="365"/>
      <c r="D2161" s="364"/>
      <c r="E2161" s="363"/>
      <c r="F2161" s="363"/>
      <c r="G2161" s="364"/>
      <c r="H2161" s="363"/>
      <c r="I2161" s="363"/>
      <c r="J2161" s="364"/>
      <c r="K2161" s="363"/>
      <c r="L2161" s="363"/>
      <c r="M2161" s="737"/>
      <c r="N2161" s="332"/>
      <c r="O2161" s="332"/>
      <c r="P2161" s="332"/>
      <c r="Q2161" s="332"/>
      <c r="R2161" s="332"/>
      <c r="S2161" s="332"/>
      <c r="T2161" s="332"/>
    </row>
    <row r="2162" spans="1:20" x14ac:dyDescent="0.6">
      <c r="A2162" s="334"/>
      <c r="B2162" s="610"/>
      <c r="C2162" s="365"/>
      <c r="D2162" s="364"/>
      <c r="E2162" s="363"/>
      <c r="F2162" s="363"/>
      <c r="G2162" s="364"/>
      <c r="H2162" s="363"/>
      <c r="I2162" s="363"/>
      <c r="J2162" s="364"/>
      <c r="K2162" s="363"/>
      <c r="L2162" s="363"/>
      <c r="M2162" s="737"/>
      <c r="N2162" s="332"/>
      <c r="O2162" s="332"/>
      <c r="P2162" s="332"/>
      <c r="Q2162" s="332"/>
      <c r="R2162" s="332"/>
      <c r="S2162" s="332"/>
      <c r="T2162" s="332"/>
    </row>
    <row r="2163" spans="1:20" x14ac:dyDescent="0.6">
      <c r="A2163" s="334"/>
      <c r="B2163" s="610"/>
      <c r="C2163" s="365"/>
      <c r="D2163" s="364"/>
      <c r="E2163" s="363"/>
      <c r="F2163" s="363"/>
      <c r="G2163" s="364"/>
      <c r="H2163" s="363"/>
      <c r="I2163" s="363"/>
      <c r="J2163" s="364"/>
      <c r="K2163" s="363"/>
      <c r="L2163" s="363"/>
      <c r="M2163" s="737"/>
      <c r="N2163" s="332"/>
      <c r="O2163" s="332"/>
      <c r="P2163" s="332"/>
      <c r="Q2163" s="332"/>
      <c r="R2163" s="332"/>
      <c r="S2163" s="332"/>
      <c r="T2163" s="332"/>
    </row>
    <row r="2164" spans="1:20" x14ac:dyDescent="0.6">
      <c r="A2164" s="334"/>
      <c r="B2164" s="610"/>
      <c r="C2164" s="365"/>
      <c r="D2164" s="364"/>
      <c r="E2164" s="363"/>
      <c r="F2164" s="363"/>
      <c r="G2164" s="364"/>
      <c r="H2164" s="363"/>
      <c r="I2164" s="363"/>
      <c r="J2164" s="364"/>
      <c r="K2164" s="363"/>
      <c r="L2164" s="363"/>
      <c r="M2164" s="737"/>
      <c r="N2164" s="332"/>
      <c r="O2164" s="332"/>
      <c r="P2164" s="332"/>
      <c r="Q2164" s="332"/>
      <c r="R2164" s="332"/>
      <c r="S2164" s="332"/>
      <c r="T2164" s="332"/>
    </row>
    <row r="2165" spans="1:20" x14ac:dyDescent="0.6">
      <c r="A2165" s="334"/>
      <c r="B2165" s="610"/>
      <c r="C2165" s="365"/>
      <c r="D2165" s="364"/>
      <c r="E2165" s="363"/>
      <c r="F2165" s="363"/>
      <c r="G2165" s="364"/>
      <c r="H2165" s="363"/>
      <c r="I2165" s="363"/>
      <c r="J2165" s="364"/>
      <c r="K2165" s="363"/>
      <c r="L2165" s="363"/>
      <c r="M2165" s="737"/>
      <c r="N2165" s="332"/>
      <c r="O2165" s="332"/>
      <c r="P2165" s="332"/>
      <c r="Q2165" s="332"/>
      <c r="R2165" s="332"/>
      <c r="S2165" s="332"/>
      <c r="T2165" s="332"/>
    </row>
    <row r="2166" spans="1:20" x14ac:dyDescent="0.6">
      <c r="A2166" s="334"/>
      <c r="B2166" s="610"/>
      <c r="C2166" s="365"/>
      <c r="D2166" s="364"/>
      <c r="E2166" s="363"/>
      <c r="F2166" s="363"/>
      <c r="G2166" s="364"/>
      <c r="H2166" s="363"/>
      <c r="I2166" s="363"/>
      <c r="J2166" s="364"/>
      <c r="K2166" s="363"/>
      <c r="L2166" s="363"/>
      <c r="M2166" s="737"/>
      <c r="N2166" s="332"/>
      <c r="O2166" s="332"/>
      <c r="P2166" s="332"/>
      <c r="Q2166" s="332"/>
      <c r="R2166" s="332"/>
      <c r="S2166" s="332"/>
      <c r="T2166" s="332"/>
    </row>
    <row r="2167" spans="1:20" x14ac:dyDescent="0.6">
      <c r="A2167" s="334"/>
      <c r="B2167" s="610"/>
      <c r="C2167" s="365"/>
      <c r="D2167" s="364"/>
      <c r="E2167" s="363"/>
      <c r="F2167" s="363"/>
      <c r="G2167" s="364"/>
      <c r="H2167" s="363"/>
      <c r="I2167" s="363"/>
      <c r="J2167" s="364"/>
      <c r="K2167" s="363"/>
      <c r="L2167" s="363"/>
      <c r="M2167" s="737"/>
      <c r="N2167" s="332"/>
      <c r="O2167" s="332"/>
      <c r="P2167" s="332"/>
      <c r="Q2167" s="332"/>
      <c r="R2167" s="332"/>
      <c r="S2167" s="332"/>
      <c r="T2167" s="332"/>
    </row>
    <row r="2168" spans="1:20" x14ac:dyDescent="0.6">
      <c r="A2168" s="334"/>
      <c r="B2168" s="610"/>
      <c r="C2168" s="365"/>
      <c r="D2168" s="364"/>
      <c r="E2168" s="363"/>
      <c r="F2168" s="363"/>
      <c r="G2168" s="364"/>
      <c r="H2168" s="363"/>
      <c r="I2168" s="363"/>
      <c r="J2168" s="364"/>
      <c r="K2168" s="363"/>
      <c r="L2168" s="363"/>
      <c r="M2168" s="737"/>
      <c r="N2168" s="332"/>
      <c r="O2168" s="332"/>
      <c r="P2168" s="332"/>
      <c r="Q2168" s="332"/>
      <c r="R2168" s="332"/>
      <c r="S2168" s="332"/>
      <c r="T2168" s="332"/>
    </row>
    <row r="2169" spans="1:20" x14ac:dyDescent="0.6">
      <c r="A2169" s="334"/>
      <c r="B2169" s="610"/>
      <c r="C2169" s="365"/>
      <c r="D2169" s="364"/>
      <c r="E2169" s="363"/>
      <c r="F2169" s="363"/>
      <c r="G2169" s="364"/>
      <c r="H2169" s="363"/>
      <c r="I2169" s="363"/>
      <c r="J2169" s="364"/>
      <c r="K2169" s="363"/>
      <c r="L2169" s="363"/>
      <c r="M2169" s="737"/>
      <c r="N2169" s="332"/>
      <c r="O2169" s="332"/>
      <c r="P2169" s="332"/>
      <c r="Q2169" s="332"/>
      <c r="R2169" s="332"/>
      <c r="S2169" s="332"/>
      <c r="T2169" s="332"/>
    </row>
    <row r="2170" spans="1:20" x14ac:dyDescent="0.6">
      <c r="A2170" s="334"/>
      <c r="B2170" s="610"/>
      <c r="C2170" s="365"/>
      <c r="D2170" s="364"/>
      <c r="E2170" s="363"/>
      <c r="F2170" s="363"/>
      <c r="G2170" s="364"/>
      <c r="H2170" s="363"/>
      <c r="I2170" s="363"/>
      <c r="J2170" s="364"/>
      <c r="K2170" s="363"/>
      <c r="L2170" s="363"/>
      <c r="M2170" s="737"/>
      <c r="N2170" s="332"/>
      <c r="O2170" s="332"/>
      <c r="P2170" s="332"/>
      <c r="Q2170" s="332"/>
      <c r="R2170" s="332"/>
      <c r="S2170" s="332"/>
      <c r="T2170" s="332"/>
    </row>
    <row r="2171" spans="1:20" x14ac:dyDescent="0.6">
      <c r="A2171" s="334"/>
      <c r="B2171" s="610"/>
      <c r="C2171" s="365"/>
      <c r="D2171" s="364"/>
      <c r="E2171" s="363"/>
      <c r="F2171" s="363"/>
      <c r="G2171" s="364"/>
      <c r="H2171" s="363"/>
      <c r="I2171" s="363"/>
      <c r="J2171" s="364"/>
      <c r="K2171" s="363"/>
      <c r="L2171" s="363"/>
      <c r="M2171" s="737"/>
      <c r="N2171" s="332"/>
      <c r="O2171" s="332"/>
      <c r="P2171" s="332"/>
      <c r="Q2171" s="332"/>
      <c r="R2171" s="332"/>
      <c r="S2171" s="332"/>
      <c r="T2171" s="332"/>
    </row>
    <row r="2172" spans="1:20" x14ac:dyDescent="0.6">
      <c r="A2172" s="334"/>
      <c r="B2172" s="610"/>
      <c r="C2172" s="365"/>
      <c r="D2172" s="364"/>
      <c r="E2172" s="363"/>
      <c r="F2172" s="363"/>
      <c r="G2172" s="364"/>
      <c r="H2172" s="363"/>
      <c r="I2172" s="363"/>
      <c r="J2172" s="364"/>
      <c r="K2172" s="363"/>
      <c r="L2172" s="363"/>
      <c r="M2172" s="737"/>
      <c r="N2172" s="332"/>
      <c r="O2172" s="332"/>
      <c r="P2172" s="332"/>
      <c r="Q2172" s="332"/>
      <c r="R2172" s="332"/>
      <c r="S2172" s="332"/>
      <c r="T2172" s="332"/>
    </row>
    <row r="2173" spans="1:20" x14ac:dyDescent="0.6">
      <c r="A2173" s="334"/>
      <c r="B2173" s="610"/>
      <c r="C2173" s="365"/>
      <c r="D2173" s="364"/>
      <c r="E2173" s="363"/>
      <c r="F2173" s="363"/>
      <c r="G2173" s="364"/>
      <c r="H2173" s="363"/>
      <c r="I2173" s="363"/>
      <c r="J2173" s="364"/>
      <c r="K2173" s="363"/>
      <c r="L2173" s="363"/>
      <c r="M2173" s="737"/>
      <c r="N2173" s="332"/>
      <c r="O2173" s="332"/>
      <c r="P2173" s="332"/>
      <c r="Q2173" s="332"/>
      <c r="R2173" s="332"/>
      <c r="S2173" s="332"/>
      <c r="T2173" s="332"/>
    </row>
    <row r="2174" spans="1:20" x14ac:dyDescent="0.6">
      <c r="A2174" s="334"/>
      <c r="B2174" s="610"/>
      <c r="C2174" s="365"/>
      <c r="D2174" s="364"/>
      <c r="E2174" s="363"/>
      <c r="F2174" s="363"/>
      <c r="G2174" s="364"/>
      <c r="H2174" s="363"/>
      <c r="I2174" s="363"/>
      <c r="J2174" s="364"/>
      <c r="K2174" s="363"/>
      <c r="L2174" s="363"/>
      <c r="M2174" s="737"/>
      <c r="N2174" s="332"/>
      <c r="O2174" s="332"/>
      <c r="P2174" s="332"/>
      <c r="Q2174" s="332"/>
      <c r="R2174" s="332"/>
      <c r="S2174" s="332"/>
      <c r="T2174" s="332"/>
    </row>
    <row r="2175" spans="1:20" x14ac:dyDescent="0.6">
      <c r="A2175" s="334"/>
      <c r="B2175" s="610"/>
      <c r="C2175" s="365"/>
      <c r="D2175" s="364"/>
      <c r="E2175" s="363"/>
      <c r="F2175" s="363"/>
      <c r="G2175" s="364"/>
      <c r="H2175" s="363"/>
      <c r="I2175" s="363"/>
      <c r="J2175" s="364"/>
      <c r="K2175" s="363"/>
      <c r="L2175" s="363"/>
      <c r="M2175" s="737"/>
      <c r="N2175" s="332"/>
      <c r="O2175" s="332"/>
      <c r="P2175" s="332"/>
      <c r="Q2175" s="332"/>
      <c r="R2175" s="332"/>
      <c r="S2175" s="332"/>
      <c r="T2175" s="332"/>
    </row>
    <row r="2176" spans="1:20" x14ac:dyDescent="0.6">
      <c r="A2176" s="334"/>
      <c r="B2176" s="610"/>
      <c r="C2176" s="365"/>
      <c r="D2176" s="364"/>
      <c r="E2176" s="363"/>
      <c r="F2176" s="363"/>
      <c r="G2176" s="364"/>
      <c r="H2176" s="363"/>
      <c r="I2176" s="363"/>
      <c r="J2176" s="364"/>
      <c r="K2176" s="363"/>
      <c r="L2176" s="363"/>
      <c r="M2176" s="737"/>
      <c r="N2176" s="332"/>
      <c r="O2176" s="332"/>
      <c r="P2176" s="332"/>
      <c r="Q2176" s="332"/>
      <c r="R2176" s="332"/>
      <c r="S2176" s="332"/>
      <c r="T2176" s="332"/>
    </row>
    <row r="2177" spans="1:20" x14ac:dyDescent="0.6">
      <c r="A2177" s="334"/>
      <c r="B2177" s="610"/>
      <c r="C2177" s="365"/>
      <c r="D2177" s="364"/>
      <c r="E2177" s="363"/>
      <c r="F2177" s="363"/>
      <c r="G2177" s="364"/>
      <c r="H2177" s="363"/>
      <c r="I2177" s="363"/>
      <c r="J2177" s="364"/>
      <c r="K2177" s="363"/>
      <c r="L2177" s="363"/>
      <c r="M2177" s="737"/>
      <c r="N2177" s="332"/>
      <c r="O2177" s="332"/>
      <c r="P2177" s="332"/>
      <c r="Q2177" s="332"/>
      <c r="R2177" s="332"/>
      <c r="S2177" s="332"/>
      <c r="T2177" s="332"/>
    </row>
    <row r="2178" spans="1:20" x14ac:dyDescent="0.6">
      <c r="A2178" s="334"/>
      <c r="B2178" s="610"/>
      <c r="C2178" s="365"/>
      <c r="D2178" s="364"/>
      <c r="E2178" s="363"/>
      <c r="F2178" s="363"/>
      <c r="G2178" s="364"/>
      <c r="H2178" s="363"/>
      <c r="I2178" s="363"/>
      <c r="J2178" s="364"/>
      <c r="K2178" s="363"/>
      <c r="L2178" s="363"/>
      <c r="M2178" s="737"/>
      <c r="N2178" s="332"/>
      <c r="O2178" s="332"/>
      <c r="P2178" s="332"/>
      <c r="Q2178" s="332"/>
      <c r="R2178" s="332"/>
      <c r="S2178" s="332"/>
      <c r="T2178" s="332"/>
    </row>
    <row r="2179" spans="1:20" x14ac:dyDescent="0.6">
      <c r="A2179" s="334"/>
      <c r="B2179" s="610"/>
      <c r="C2179" s="365"/>
      <c r="D2179" s="364"/>
      <c r="E2179" s="363"/>
      <c r="F2179" s="363"/>
      <c r="G2179" s="364"/>
      <c r="H2179" s="363"/>
      <c r="I2179" s="363"/>
      <c r="J2179" s="364"/>
      <c r="K2179" s="363"/>
      <c r="L2179" s="363"/>
      <c r="M2179" s="737"/>
      <c r="N2179" s="332"/>
      <c r="O2179" s="332"/>
      <c r="P2179" s="332"/>
      <c r="Q2179" s="332"/>
      <c r="R2179" s="332"/>
      <c r="S2179" s="332"/>
      <c r="T2179" s="332"/>
    </row>
    <row r="2180" spans="1:20" x14ac:dyDescent="0.6">
      <c r="A2180" s="334"/>
      <c r="B2180" s="610"/>
      <c r="C2180" s="365"/>
      <c r="D2180" s="364"/>
      <c r="E2180" s="363"/>
      <c r="F2180" s="363"/>
      <c r="G2180" s="364"/>
      <c r="H2180" s="363"/>
      <c r="I2180" s="363"/>
      <c r="J2180" s="364"/>
      <c r="K2180" s="363"/>
      <c r="L2180" s="363"/>
      <c r="M2180" s="737"/>
      <c r="N2180" s="332"/>
      <c r="O2180" s="332"/>
      <c r="P2180" s="332"/>
      <c r="Q2180" s="332"/>
      <c r="R2180" s="332"/>
      <c r="S2180" s="332"/>
      <c r="T2180" s="332"/>
    </row>
    <row r="2181" spans="1:20" x14ac:dyDescent="0.6">
      <c r="A2181" s="334"/>
      <c r="B2181" s="610"/>
      <c r="C2181" s="365"/>
      <c r="D2181" s="364"/>
      <c r="E2181" s="363"/>
      <c r="F2181" s="363"/>
      <c r="G2181" s="364"/>
      <c r="H2181" s="363"/>
      <c r="I2181" s="363"/>
      <c r="J2181" s="364"/>
      <c r="K2181" s="363"/>
      <c r="L2181" s="363"/>
      <c r="M2181" s="737"/>
      <c r="N2181" s="332"/>
      <c r="O2181" s="332"/>
      <c r="P2181" s="332"/>
      <c r="Q2181" s="332"/>
      <c r="R2181" s="332"/>
      <c r="S2181" s="332"/>
      <c r="T2181" s="332"/>
    </row>
    <row r="2182" spans="1:20" x14ac:dyDescent="0.6">
      <c r="A2182" s="334"/>
      <c r="B2182" s="610"/>
      <c r="C2182" s="365"/>
      <c r="D2182" s="364"/>
      <c r="E2182" s="363"/>
      <c r="F2182" s="363"/>
      <c r="G2182" s="364"/>
      <c r="H2182" s="363"/>
      <c r="I2182" s="363"/>
      <c r="J2182" s="364"/>
      <c r="K2182" s="363"/>
      <c r="L2182" s="363"/>
      <c r="M2182" s="737"/>
      <c r="N2182" s="332"/>
      <c r="O2182" s="332"/>
      <c r="P2182" s="332"/>
      <c r="Q2182" s="332"/>
      <c r="R2182" s="332"/>
      <c r="S2182" s="332"/>
      <c r="T2182" s="332"/>
    </row>
    <row r="2183" spans="1:20" x14ac:dyDescent="0.6">
      <c r="A2183" s="334"/>
      <c r="B2183" s="610"/>
      <c r="C2183" s="365"/>
      <c r="D2183" s="364"/>
      <c r="E2183" s="363"/>
      <c r="F2183" s="363"/>
      <c r="G2183" s="364"/>
      <c r="H2183" s="363"/>
      <c r="I2183" s="363"/>
      <c r="J2183" s="364"/>
      <c r="K2183" s="363"/>
      <c r="L2183" s="363"/>
      <c r="M2183" s="737"/>
      <c r="N2183" s="332"/>
      <c r="O2183" s="332"/>
      <c r="P2183" s="332"/>
      <c r="Q2183" s="332"/>
      <c r="R2183" s="332"/>
      <c r="S2183" s="332"/>
      <c r="T2183" s="332"/>
    </row>
    <row r="2184" spans="1:20" x14ac:dyDescent="0.6">
      <c r="A2184" s="334"/>
      <c r="B2184" s="610"/>
      <c r="C2184" s="365"/>
      <c r="D2184" s="364"/>
      <c r="E2184" s="363"/>
      <c r="F2184" s="363"/>
      <c r="G2184" s="364"/>
      <c r="H2184" s="363"/>
      <c r="I2184" s="363"/>
      <c r="J2184" s="364"/>
      <c r="K2184" s="363"/>
      <c r="L2184" s="363"/>
      <c r="M2184" s="737"/>
      <c r="N2184" s="332"/>
      <c r="O2184" s="332"/>
      <c r="P2184" s="332"/>
      <c r="Q2184" s="332"/>
      <c r="R2184" s="332"/>
      <c r="S2184" s="332"/>
      <c r="T2184" s="332"/>
    </row>
    <row r="2185" spans="1:20" x14ac:dyDescent="0.6">
      <c r="A2185" s="334"/>
      <c r="B2185" s="610"/>
      <c r="C2185" s="365"/>
      <c r="D2185" s="364"/>
      <c r="E2185" s="363"/>
      <c r="F2185" s="363"/>
      <c r="G2185" s="364"/>
      <c r="H2185" s="363"/>
      <c r="I2185" s="363"/>
      <c r="J2185" s="364"/>
      <c r="K2185" s="363"/>
      <c r="L2185" s="363"/>
      <c r="M2185" s="737"/>
      <c r="N2185" s="332"/>
      <c r="O2185" s="332"/>
      <c r="P2185" s="332"/>
      <c r="Q2185" s="332"/>
      <c r="R2185" s="332"/>
      <c r="S2185" s="332"/>
      <c r="T2185" s="332"/>
    </row>
    <row r="2186" spans="1:20" x14ac:dyDescent="0.6">
      <c r="A2186" s="334"/>
      <c r="B2186" s="610"/>
      <c r="C2186" s="365"/>
      <c r="D2186" s="364"/>
      <c r="E2186" s="363"/>
      <c r="F2186" s="363"/>
      <c r="G2186" s="364"/>
      <c r="H2186" s="363"/>
      <c r="I2186" s="363"/>
      <c r="J2186" s="364"/>
      <c r="K2186" s="363"/>
      <c r="L2186" s="363"/>
      <c r="M2186" s="737"/>
      <c r="N2186" s="332"/>
      <c r="O2186" s="332"/>
      <c r="P2186" s="332"/>
      <c r="Q2186" s="332"/>
      <c r="R2186" s="332"/>
      <c r="S2186" s="332"/>
      <c r="T2186" s="332"/>
    </row>
    <row r="2187" spans="1:20" x14ac:dyDescent="0.6">
      <c r="A2187" s="334"/>
      <c r="B2187" s="610"/>
      <c r="C2187" s="365"/>
      <c r="D2187" s="364"/>
      <c r="E2187" s="363"/>
      <c r="F2187" s="363"/>
      <c r="G2187" s="364"/>
      <c r="H2187" s="363"/>
      <c r="I2187" s="363"/>
      <c r="J2187" s="364"/>
      <c r="K2187" s="363"/>
      <c r="L2187" s="363"/>
      <c r="M2187" s="737"/>
      <c r="N2187" s="332"/>
      <c r="O2187" s="332"/>
      <c r="P2187" s="332"/>
      <c r="Q2187" s="332"/>
      <c r="R2187" s="332"/>
      <c r="S2187" s="332"/>
      <c r="T2187" s="332"/>
    </row>
    <row r="2188" spans="1:20" x14ac:dyDescent="0.6">
      <c r="A2188" s="334"/>
      <c r="B2188" s="610"/>
      <c r="C2188" s="365"/>
      <c r="D2188" s="364"/>
      <c r="E2188" s="363"/>
      <c r="F2188" s="363"/>
      <c r="G2188" s="364"/>
      <c r="H2188" s="363"/>
      <c r="I2188" s="363"/>
      <c r="J2188" s="364"/>
      <c r="K2188" s="363"/>
      <c r="L2188" s="363"/>
      <c r="M2188" s="737"/>
      <c r="N2188" s="332"/>
      <c r="O2188" s="332"/>
      <c r="P2188" s="332"/>
      <c r="Q2188" s="332"/>
      <c r="R2188" s="332"/>
      <c r="S2188" s="332"/>
      <c r="T2188" s="332"/>
    </row>
    <row r="2189" spans="1:20" x14ac:dyDescent="0.6">
      <c r="A2189" s="334"/>
      <c r="B2189" s="610"/>
      <c r="C2189" s="365"/>
      <c r="D2189" s="364"/>
      <c r="E2189" s="363"/>
      <c r="F2189" s="363"/>
      <c r="G2189" s="364"/>
      <c r="H2189" s="363"/>
      <c r="I2189" s="363"/>
      <c r="J2189" s="364"/>
      <c r="K2189" s="363"/>
      <c r="L2189" s="363"/>
      <c r="M2189" s="737"/>
      <c r="N2189" s="332"/>
      <c r="O2189" s="332"/>
      <c r="P2189" s="332"/>
      <c r="Q2189" s="332"/>
      <c r="R2189" s="332"/>
      <c r="S2189" s="332"/>
      <c r="T2189" s="332"/>
    </row>
    <row r="2190" spans="1:20" x14ac:dyDescent="0.6">
      <c r="A2190" s="334"/>
      <c r="B2190" s="610"/>
      <c r="C2190" s="365"/>
      <c r="D2190" s="364"/>
      <c r="E2190" s="363"/>
      <c r="F2190" s="363"/>
      <c r="G2190" s="364"/>
      <c r="H2190" s="363"/>
      <c r="I2190" s="363"/>
      <c r="J2190" s="364"/>
      <c r="K2190" s="363"/>
      <c r="L2190" s="363"/>
      <c r="M2190" s="737"/>
      <c r="N2190" s="332"/>
      <c r="O2190" s="332"/>
      <c r="P2190" s="332"/>
      <c r="Q2190" s="332"/>
      <c r="R2190" s="332"/>
      <c r="S2190" s="332"/>
      <c r="T2190" s="332"/>
    </row>
    <row r="2191" spans="1:20" x14ac:dyDescent="0.6">
      <c r="A2191" s="334"/>
      <c r="B2191" s="610"/>
      <c r="C2191" s="365"/>
      <c r="D2191" s="364"/>
      <c r="E2191" s="363"/>
      <c r="F2191" s="363"/>
      <c r="G2191" s="364"/>
      <c r="H2191" s="363"/>
      <c r="I2191" s="363"/>
      <c r="J2191" s="364"/>
      <c r="K2191" s="363"/>
      <c r="L2191" s="363"/>
      <c r="M2191" s="737"/>
      <c r="N2191" s="332"/>
      <c r="O2191" s="332"/>
      <c r="P2191" s="332"/>
      <c r="Q2191" s="332"/>
      <c r="R2191" s="332"/>
      <c r="S2191" s="332"/>
      <c r="T2191" s="332"/>
    </row>
    <row r="2192" spans="1:20" x14ac:dyDescent="0.6">
      <c r="A2192" s="334"/>
      <c r="B2192" s="610"/>
      <c r="C2192" s="365"/>
      <c r="D2192" s="364"/>
      <c r="E2192" s="363"/>
      <c r="F2192" s="363"/>
      <c r="G2192" s="364"/>
      <c r="H2192" s="363"/>
      <c r="I2192" s="363"/>
      <c r="J2192" s="364"/>
      <c r="K2192" s="363"/>
      <c r="L2192" s="363"/>
      <c r="M2192" s="737"/>
      <c r="N2192" s="332"/>
      <c r="O2192" s="332"/>
      <c r="P2192" s="332"/>
      <c r="Q2192" s="332"/>
      <c r="R2192" s="332"/>
      <c r="S2192" s="332"/>
      <c r="T2192" s="332"/>
    </row>
    <row r="2193" spans="1:20" x14ac:dyDescent="0.6">
      <c r="A2193" s="334"/>
      <c r="B2193" s="610"/>
      <c r="C2193" s="365"/>
      <c r="D2193" s="364"/>
      <c r="E2193" s="363"/>
      <c r="F2193" s="363"/>
      <c r="G2193" s="364"/>
      <c r="H2193" s="363"/>
      <c r="I2193" s="363"/>
      <c r="J2193" s="364"/>
      <c r="K2193" s="363"/>
      <c r="L2193" s="363"/>
      <c r="M2193" s="737"/>
      <c r="N2193" s="332"/>
      <c r="O2193" s="332"/>
      <c r="P2193" s="332"/>
      <c r="Q2193" s="332"/>
      <c r="R2193" s="332"/>
      <c r="S2193" s="332"/>
      <c r="T2193" s="332"/>
    </row>
    <row r="2194" spans="1:20" x14ac:dyDescent="0.6">
      <c r="A2194" s="334"/>
      <c r="B2194" s="610"/>
      <c r="C2194" s="365"/>
      <c r="D2194" s="364"/>
      <c r="E2194" s="363"/>
      <c r="F2194" s="363"/>
      <c r="G2194" s="364"/>
      <c r="H2194" s="363"/>
      <c r="I2194" s="363"/>
      <c r="J2194" s="364"/>
      <c r="K2194" s="363"/>
      <c r="L2194" s="363"/>
      <c r="M2194" s="737"/>
      <c r="N2194" s="332"/>
      <c r="O2194" s="332"/>
      <c r="P2194" s="332"/>
      <c r="Q2194" s="332"/>
      <c r="R2194" s="332"/>
      <c r="S2194" s="332"/>
      <c r="T2194" s="332"/>
    </row>
    <row r="2195" spans="1:20" x14ac:dyDescent="0.6">
      <c r="A2195" s="334"/>
      <c r="B2195" s="610"/>
      <c r="C2195" s="365"/>
      <c r="D2195" s="364"/>
      <c r="E2195" s="363"/>
      <c r="F2195" s="363"/>
      <c r="G2195" s="364"/>
      <c r="H2195" s="363"/>
      <c r="I2195" s="363"/>
      <c r="J2195" s="364"/>
      <c r="K2195" s="363"/>
      <c r="L2195" s="363"/>
      <c r="M2195" s="737"/>
      <c r="N2195" s="332"/>
      <c r="O2195" s="332"/>
      <c r="P2195" s="332"/>
      <c r="Q2195" s="332"/>
      <c r="R2195" s="332"/>
      <c r="S2195" s="332"/>
      <c r="T2195" s="332"/>
    </row>
    <row r="2196" spans="1:20" x14ac:dyDescent="0.6">
      <c r="A2196" s="334"/>
      <c r="B2196" s="610"/>
      <c r="C2196" s="365"/>
      <c r="D2196" s="364"/>
      <c r="E2196" s="363"/>
      <c r="F2196" s="363"/>
      <c r="G2196" s="364"/>
      <c r="H2196" s="363"/>
      <c r="I2196" s="363"/>
      <c r="J2196" s="364"/>
      <c r="K2196" s="363"/>
      <c r="L2196" s="363"/>
      <c r="M2196" s="737"/>
      <c r="N2196" s="332"/>
      <c r="O2196" s="332"/>
      <c r="P2196" s="332"/>
      <c r="Q2196" s="332"/>
      <c r="R2196" s="332"/>
      <c r="S2196" s="332"/>
      <c r="T2196" s="332"/>
    </row>
    <row r="2197" spans="1:20" x14ac:dyDescent="0.6">
      <c r="A2197" s="334"/>
      <c r="B2197" s="610"/>
      <c r="C2197" s="365"/>
      <c r="D2197" s="364"/>
      <c r="E2197" s="363"/>
      <c r="F2197" s="363"/>
      <c r="G2197" s="364"/>
      <c r="H2197" s="363"/>
      <c r="I2197" s="363"/>
      <c r="J2197" s="364"/>
      <c r="K2197" s="363"/>
      <c r="L2197" s="363"/>
      <c r="M2197" s="737"/>
      <c r="N2197" s="332"/>
      <c r="O2197" s="332"/>
      <c r="P2197" s="332"/>
      <c r="Q2197" s="332"/>
      <c r="R2197" s="332"/>
      <c r="S2197" s="332"/>
      <c r="T2197" s="332"/>
    </row>
    <row r="2198" spans="1:20" x14ac:dyDescent="0.6">
      <c r="A2198" s="334"/>
      <c r="B2198" s="610"/>
      <c r="C2198" s="365"/>
      <c r="D2198" s="364"/>
      <c r="E2198" s="363"/>
      <c r="F2198" s="363"/>
      <c r="G2198" s="364"/>
      <c r="H2198" s="363"/>
      <c r="I2198" s="363"/>
      <c r="J2198" s="364"/>
      <c r="K2198" s="363"/>
      <c r="L2198" s="363"/>
      <c r="M2198" s="737"/>
      <c r="N2198" s="332"/>
      <c r="O2198" s="332"/>
      <c r="P2198" s="332"/>
      <c r="Q2198" s="332"/>
      <c r="R2198" s="332"/>
      <c r="S2198" s="332"/>
      <c r="T2198" s="332"/>
    </row>
    <row r="2199" spans="1:20" x14ac:dyDescent="0.6">
      <c r="A2199" s="334"/>
      <c r="B2199" s="610"/>
      <c r="C2199" s="365"/>
      <c r="D2199" s="364"/>
      <c r="E2199" s="363"/>
      <c r="F2199" s="363"/>
      <c r="G2199" s="364"/>
      <c r="H2199" s="363"/>
      <c r="I2199" s="363"/>
      <c r="J2199" s="364"/>
      <c r="K2199" s="363"/>
      <c r="L2199" s="363"/>
      <c r="M2199" s="737"/>
      <c r="N2199" s="332"/>
      <c r="O2199" s="332"/>
      <c r="P2199" s="332"/>
      <c r="Q2199" s="332"/>
      <c r="R2199" s="332"/>
      <c r="S2199" s="332"/>
      <c r="T2199" s="332"/>
    </row>
    <row r="2200" spans="1:20" x14ac:dyDescent="0.6">
      <c r="A2200" s="334"/>
      <c r="B2200" s="610"/>
      <c r="C2200" s="365"/>
      <c r="D2200" s="364"/>
      <c r="E2200" s="363"/>
      <c r="F2200" s="363"/>
      <c r="G2200" s="364"/>
      <c r="H2200" s="363"/>
      <c r="I2200" s="363"/>
      <c r="J2200" s="364"/>
      <c r="K2200" s="363"/>
      <c r="L2200" s="363"/>
      <c r="M2200" s="737"/>
      <c r="N2200" s="332"/>
      <c r="O2200" s="332"/>
      <c r="P2200" s="332"/>
      <c r="Q2200" s="332"/>
      <c r="R2200" s="332"/>
      <c r="S2200" s="332"/>
      <c r="T2200" s="332"/>
    </row>
    <row r="2201" spans="1:20" x14ac:dyDescent="0.6">
      <c r="A2201" s="334"/>
      <c r="B2201" s="610"/>
      <c r="C2201" s="365"/>
      <c r="D2201" s="364"/>
      <c r="E2201" s="363"/>
      <c r="F2201" s="363"/>
      <c r="G2201" s="364"/>
      <c r="H2201" s="363"/>
      <c r="I2201" s="363"/>
      <c r="J2201" s="364"/>
      <c r="K2201" s="363"/>
      <c r="L2201" s="363"/>
      <c r="M2201" s="737"/>
      <c r="N2201" s="332"/>
      <c r="O2201" s="332"/>
      <c r="P2201" s="332"/>
      <c r="Q2201" s="332"/>
      <c r="R2201" s="332"/>
      <c r="S2201" s="332"/>
      <c r="T2201" s="332"/>
    </row>
    <row r="2202" spans="1:20" x14ac:dyDescent="0.6">
      <c r="A2202" s="334"/>
      <c r="B2202" s="610"/>
      <c r="C2202" s="365"/>
      <c r="D2202" s="364"/>
      <c r="E2202" s="363"/>
      <c r="F2202" s="363"/>
      <c r="G2202" s="364"/>
      <c r="H2202" s="363"/>
      <c r="I2202" s="363"/>
      <c r="J2202" s="364"/>
      <c r="K2202" s="363"/>
      <c r="L2202" s="363"/>
      <c r="M2202" s="737"/>
      <c r="N2202" s="332"/>
      <c r="O2202" s="332"/>
      <c r="P2202" s="332"/>
      <c r="Q2202" s="332"/>
      <c r="R2202" s="332"/>
      <c r="S2202" s="332"/>
      <c r="T2202" s="332"/>
    </row>
    <row r="2203" spans="1:20" x14ac:dyDescent="0.6">
      <c r="A2203" s="334"/>
      <c r="B2203" s="610"/>
      <c r="C2203" s="365"/>
      <c r="D2203" s="364"/>
      <c r="E2203" s="363"/>
      <c r="F2203" s="363"/>
      <c r="G2203" s="364"/>
      <c r="H2203" s="363"/>
      <c r="I2203" s="363"/>
      <c r="J2203" s="364"/>
      <c r="K2203" s="363"/>
      <c r="L2203" s="363"/>
      <c r="M2203" s="737"/>
      <c r="N2203" s="332"/>
      <c r="O2203" s="332"/>
      <c r="P2203" s="332"/>
      <c r="Q2203" s="332"/>
      <c r="R2203" s="332"/>
      <c r="S2203" s="332"/>
      <c r="T2203" s="332"/>
    </row>
    <row r="2204" spans="1:20" x14ac:dyDescent="0.6">
      <c r="A2204" s="334"/>
      <c r="B2204" s="610"/>
      <c r="C2204" s="365"/>
      <c r="D2204" s="364"/>
      <c r="E2204" s="363"/>
      <c r="F2204" s="363"/>
      <c r="G2204" s="364"/>
      <c r="H2204" s="363"/>
      <c r="I2204" s="363"/>
      <c r="J2204" s="364"/>
      <c r="K2204" s="363"/>
      <c r="L2204" s="363"/>
      <c r="M2204" s="737"/>
      <c r="N2204" s="332"/>
      <c r="O2204" s="332"/>
      <c r="P2204" s="332"/>
      <c r="Q2204" s="332"/>
      <c r="R2204" s="332"/>
      <c r="S2204" s="332"/>
      <c r="T2204" s="332"/>
    </row>
    <row r="2205" spans="1:20" x14ac:dyDescent="0.6">
      <c r="A2205" s="334"/>
      <c r="B2205" s="610"/>
      <c r="C2205" s="365"/>
      <c r="D2205" s="364"/>
      <c r="E2205" s="363"/>
      <c r="F2205" s="363"/>
      <c r="G2205" s="364"/>
      <c r="H2205" s="363"/>
      <c r="I2205" s="363"/>
      <c r="J2205" s="364"/>
      <c r="K2205" s="363"/>
      <c r="L2205" s="363"/>
      <c r="M2205" s="737"/>
      <c r="N2205" s="332"/>
      <c r="O2205" s="332"/>
      <c r="P2205" s="332"/>
      <c r="Q2205" s="332"/>
      <c r="R2205" s="332"/>
      <c r="S2205" s="332"/>
      <c r="T2205" s="332"/>
    </row>
    <row r="2206" spans="1:20" x14ac:dyDescent="0.6">
      <c r="A2206" s="334"/>
      <c r="B2206" s="610"/>
      <c r="C2206" s="365"/>
      <c r="D2206" s="364"/>
      <c r="E2206" s="363"/>
      <c r="F2206" s="363"/>
      <c r="G2206" s="364"/>
      <c r="H2206" s="363"/>
      <c r="I2206" s="363"/>
      <c r="J2206" s="364"/>
      <c r="K2206" s="363"/>
      <c r="L2206" s="363"/>
      <c r="M2206" s="737"/>
      <c r="N2206" s="332"/>
      <c r="O2206" s="332"/>
      <c r="P2206" s="332"/>
      <c r="Q2206" s="332"/>
      <c r="R2206" s="332"/>
      <c r="S2206" s="332"/>
      <c r="T2206" s="332"/>
    </row>
    <row r="2207" spans="1:20" x14ac:dyDescent="0.6">
      <c r="A2207" s="334"/>
      <c r="B2207" s="610"/>
      <c r="C2207" s="365"/>
      <c r="D2207" s="364"/>
      <c r="E2207" s="363"/>
      <c r="F2207" s="363"/>
      <c r="G2207" s="364"/>
      <c r="H2207" s="363"/>
      <c r="I2207" s="363"/>
      <c r="J2207" s="364"/>
      <c r="K2207" s="363"/>
      <c r="L2207" s="363"/>
      <c r="M2207" s="737"/>
      <c r="N2207" s="332"/>
      <c r="O2207" s="332"/>
      <c r="P2207" s="332"/>
      <c r="Q2207" s="332"/>
      <c r="R2207" s="332"/>
      <c r="S2207" s="332"/>
      <c r="T2207" s="332"/>
    </row>
    <row r="2208" spans="1:20" x14ac:dyDescent="0.6">
      <c r="A2208" s="334"/>
      <c r="B2208" s="610"/>
      <c r="C2208" s="365"/>
      <c r="D2208" s="364"/>
      <c r="E2208" s="363"/>
      <c r="F2208" s="363"/>
      <c r="G2208" s="364"/>
      <c r="H2208" s="363"/>
      <c r="I2208" s="363"/>
      <c r="J2208" s="364"/>
      <c r="K2208" s="363"/>
      <c r="L2208" s="363"/>
      <c r="M2208" s="737"/>
      <c r="N2208" s="332"/>
      <c r="O2208" s="332"/>
      <c r="P2208" s="332"/>
      <c r="Q2208" s="332"/>
      <c r="R2208" s="332"/>
      <c r="S2208" s="332"/>
      <c r="T2208" s="332"/>
    </row>
    <row r="2209" spans="1:20" x14ac:dyDescent="0.6">
      <c r="A2209" s="334"/>
      <c r="B2209" s="610"/>
      <c r="C2209" s="365"/>
      <c r="D2209" s="364"/>
      <c r="E2209" s="363"/>
      <c r="F2209" s="363"/>
      <c r="G2209" s="364"/>
      <c r="H2209" s="363"/>
      <c r="I2209" s="363"/>
      <c r="J2209" s="364"/>
      <c r="K2209" s="363"/>
      <c r="L2209" s="363"/>
      <c r="M2209" s="737"/>
      <c r="N2209" s="332"/>
      <c r="O2209" s="332"/>
      <c r="P2209" s="332"/>
      <c r="Q2209" s="332"/>
      <c r="R2209" s="332"/>
      <c r="S2209" s="332"/>
      <c r="T2209" s="332"/>
    </row>
    <row r="2210" spans="1:20" x14ac:dyDescent="0.6">
      <c r="A2210" s="334"/>
      <c r="B2210" s="610"/>
      <c r="C2210" s="365"/>
      <c r="D2210" s="364"/>
      <c r="E2210" s="363"/>
      <c r="F2210" s="363"/>
      <c r="G2210" s="364"/>
      <c r="H2210" s="363"/>
      <c r="I2210" s="363"/>
      <c r="J2210" s="364"/>
      <c r="K2210" s="363"/>
      <c r="L2210" s="363"/>
      <c r="M2210" s="737"/>
      <c r="N2210" s="332"/>
      <c r="O2210" s="332"/>
      <c r="P2210" s="332"/>
      <c r="Q2210" s="332"/>
      <c r="R2210" s="332"/>
      <c r="S2210" s="332"/>
      <c r="T2210" s="332"/>
    </row>
    <row r="2211" spans="1:20" x14ac:dyDescent="0.6">
      <c r="A2211" s="334"/>
      <c r="B2211" s="610"/>
      <c r="C2211" s="365"/>
      <c r="D2211" s="364"/>
      <c r="E2211" s="363"/>
      <c r="F2211" s="363"/>
      <c r="G2211" s="364"/>
      <c r="H2211" s="363"/>
      <c r="I2211" s="363"/>
      <c r="J2211" s="364"/>
      <c r="K2211" s="363"/>
      <c r="L2211" s="363"/>
      <c r="M2211" s="737"/>
      <c r="N2211" s="332"/>
      <c r="O2211" s="332"/>
      <c r="P2211" s="332"/>
      <c r="Q2211" s="332"/>
      <c r="R2211" s="332"/>
      <c r="S2211" s="332"/>
      <c r="T2211" s="332"/>
    </row>
    <row r="2212" spans="1:20" x14ac:dyDescent="0.6">
      <c r="A2212" s="334"/>
      <c r="B2212" s="610"/>
      <c r="C2212" s="365"/>
      <c r="D2212" s="364"/>
      <c r="E2212" s="363"/>
      <c r="F2212" s="363"/>
      <c r="G2212" s="364"/>
      <c r="H2212" s="363"/>
      <c r="I2212" s="363"/>
      <c r="J2212" s="364"/>
      <c r="K2212" s="363"/>
      <c r="L2212" s="363"/>
      <c r="M2212" s="737"/>
      <c r="N2212" s="332"/>
      <c r="O2212" s="332"/>
      <c r="P2212" s="332"/>
      <c r="Q2212" s="332"/>
      <c r="R2212" s="332"/>
      <c r="S2212" s="332"/>
      <c r="T2212" s="332"/>
    </row>
    <row r="2213" spans="1:20" x14ac:dyDescent="0.6">
      <c r="A2213" s="334"/>
      <c r="B2213" s="610"/>
      <c r="C2213" s="365"/>
      <c r="D2213" s="364"/>
      <c r="E2213" s="363"/>
      <c r="F2213" s="363"/>
      <c r="G2213" s="364"/>
      <c r="H2213" s="363"/>
      <c r="I2213" s="363"/>
      <c r="J2213" s="364"/>
      <c r="K2213" s="363"/>
      <c r="L2213" s="363"/>
      <c r="M2213" s="737"/>
      <c r="N2213" s="332"/>
      <c r="O2213" s="332"/>
      <c r="P2213" s="332"/>
      <c r="Q2213" s="332"/>
      <c r="R2213" s="332"/>
      <c r="S2213" s="332"/>
      <c r="T2213" s="332"/>
    </row>
    <row r="2214" spans="1:20" x14ac:dyDescent="0.6">
      <c r="A2214" s="334"/>
      <c r="B2214" s="610"/>
      <c r="C2214" s="365"/>
      <c r="D2214" s="364"/>
      <c r="E2214" s="363"/>
      <c r="F2214" s="363"/>
      <c r="G2214" s="364"/>
      <c r="H2214" s="363"/>
      <c r="I2214" s="363"/>
      <c r="J2214" s="364"/>
      <c r="K2214" s="363"/>
      <c r="L2214" s="363"/>
      <c r="M2214" s="737"/>
      <c r="N2214" s="332"/>
      <c r="O2214" s="332"/>
      <c r="P2214" s="332"/>
      <c r="Q2214" s="332"/>
      <c r="R2214" s="332"/>
      <c r="S2214" s="332"/>
      <c r="T2214" s="332"/>
    </row>
    <row r="2215" spans="1:20" x14ac:dyDescent="0.6">
      <c r="A2215" s="334"/>
      <c r="B2215" s="610"/>
      <c r="C2215" s="365"/>
      <c r="D2215" s="364"/>
      <c r="E2215" s="363"/>
      <c r="F2215" s="363"/>
      <c r="G2215" s="364"/>
      <c r="H2215" s="363"/>
      <c r="I2215" s="363"/>
      <c r="J2215" s="364"/>
      <c r="K2215" s="363"/>
      <c r="L2215" s="363"/>
      <c r="M2215" s="737"/>
      <c r="N2215" s="332"/>
      <c r="O2215" s="332"/>
      <c r="P2215" s="332"/>
      <c r="Q2215" s="332"/>
      <c r="R2215" s="332"/>
      <c r="S2215" s="332"/>
      <c r="T2215" s="332"/>
    </row>
    <row r="2216" spans="1:20" x14ac:dyDescent="0.6">
      <c r="A2216" s="334"/>
      <c r="B2216" s="610"/>
      <c r="C2216" s="365"/>
      <c r="D2216" s="364"/>
      <c r="E2216" s="363"/>
      <c r="F2216" s="363"/>
      <c r="G2216" s="364"/>
      <c r="H2216" s="363"/>
      <c r="I2216" s="363"/>
      <c r="J2216" s="364"/>
      <c r="K2216" s="363"/>
      <c r="L2216" s="363"/>
      <c r="M2216" s="737"/>
      <c r="N2216" s="332"/>
      <c r="O2216" s="332"/>
      <c r="P2216" s="332"/>
      <c r="Q2216" s="332"/>
      <c r="R2216" s="332"/>
      <c r="S2216" s="332"/>
      <c r="T2216" s="332"/>
    </row>
    <row r="2217" spans="1:20" x14ac:dyDescent="0.6">
      <c r="A2217" s="334"/>
      <c r="B2217" s="610"/>
      <c r="C2217" s="365"/>
      <c r="D2217" s="364"/>
      <c r="E2217" s="363"/>
      <c r="F2217" s="363"/>
      <c r="G2217" s="364"/>
      <c r="H2217" s="363"/>
      <c r="I2217" s="363"/>
      <c r="J2217" s="364"/>
      <c r="K2217" s="363"/>
      <c r="L2217" s="363"/>
      <c r="M2217" s="737"/>
      <c r="N2217" s="332"/>
      <c r="O2217" s="332"/>
      <c r="P2217" s="332"/>
      <c r="Q2217" s="332"/>
      <c r="R2217" s="332"/>
      <c r="S2217" s="332"/>
      <c r="T2217" s="332"/>
    </row>
    <row r="2218" spans="1:20" x14ac:dyDescent="0.6">
      <c r="A2218" s="334"/>
      <c r="B2218" s="610"/>
      <c r="C2218" s="365"/>
      <c r="D2218" s="364"/>
      <c r="E2218" s="363"/>
      <c r="F2218" s="363"/>
      <c r="G2218" s="364"/>
      <c r="H2218" s="363"/>
      <c r="I2218" s="363"/>
      <c r="J2218" s="364"/>
      <c r="K2218" s="363"/>
      <c r="L2218" s="363"/>
      <c r="M2218" s="737"/>
      <c r="N2218" s="332"/>
      <c r="O2218" s="332"/>
      <c r="P2218" s="332"/>
      <c r="Q2218" s="332"/>
      <c r="R2218" s="332"/>
      <c r="S2218" s="332"/>
      <c r="T2218" s="332"/>
    </row>
    <row r="2219" spans="1:20" x14ac:dyDescent="0.6">
      <c r="A2219" s="334"/>
      <c r="B2219" s="610"/>
      <c r="C2219" s="365"/>
      <c r="D2219" s="364"/>
      <c r="E2219" s="363"/>
      <c r="F2219" s="363"/>
      <c r="G2219" s="364"/>
      <c r="H2219" s="363"/>
      <c r="I2219" s="363"/>
      <c r="J2219" s="364"/>
      <c r="K2219" s="363"/>
      <c r="L2219" s="363"/>
      <c r="M2219" s="737"/>
      <c r="N2219" s="332"/>
      <c r="O2219" s="332"/>
      <c r="P2219" s="332"/>
      <c r="Q2219" s="332"/>
      <c r="R2219" s="332"/>
      <c r="S2219" s="332"/>
      <c r="T2219" s="332"/>
    </row>
    <row r="2220" spans="1:20" x14ac:dyDescent="0.6">
      <c r="A2220" s="334"/>
      <c r="B2220" s="610"/>
      <c r="C2220" s="365"/>
      <c r="D2220" s="364"/>
      <c r="E2220" s="363"/>
      <c r="F2220" s="363"/>
      <c r="G2220" s="364"/>
      <c r="H2220" s="363"/>
      <c r="I2220" s="363"/>
      <c r="J2220" s="364"/>
      <c r="K2220" s="363"/>
      <c r="L2220" s="363"/>
      <c r="M2220" s="737"/>
      <c r="N2220" s="332"/>
      <c r="O2220" s="332"/>
      <c r="P2220" s="332"/>
      <c r="Q2220" s="332"/>
      <c r="R2220" s="332"/>
      <c r="S2220" s="332"/>
      <c r="T2220" s="332"/>
    </row>
    <row r="2221" spans="1:20" x14ac:dyDescent="0.6">
      <c r="A2221" s="334"/>
      <c r="B2221" s="610"/>
      <c r="C2221" s="365"/>
      <c r="D2221" s="364"/>
      <c r="E2221" s="363"/>
      <c r="F2221" s="363"/>
      <c r="G2221" s="364"/>
      <c r="H2221" s="363"/>
      <c r="I2221" s="363"/>
      <c r="J2221" s="364"/>
      <c r="K2221" s="363"/>
      <c r="L2221" s="363"/>
      <c r="M2221" s="737"/>
      <c r="N2221" s="332"/>
      <c r="O2221" s="332"/>
      <c r="P2221" s="332"/>
      <c r="Q2221" s="332"/>
      <c r="R2221" s="332"/>
      <c r="S2221" s="332"/>
      <c r="T2221" s="332"/>
    </row>
    <row r="2222" spans="1:20" x14ac:dyDescent="0.6">
      <c r="A2222" s="334"/>
      <c r="B2222" s="610"/>
      <c r="C2222" s="365"/>
      <c r="D2222" s="364"/>
      <c r="E2222" s="363"/>
      <c r="F2222" s="363"/>
      <c r="G2222" s="364"/>
      <c r="H2222" s="363"/>
      <c r="I2222" s="363"/>
      <c r="J2222" s="364"/>
      <c r="K2222" s="363"/>
      <c r="L2222" s="363"/>
      <c r="M2222" s="737"/>
      <c r="N2222" s="332"/>
      <c r="O2222" s="332"/>
      <c r="P2222" s="332"/>
      <c r="Q2222" s="332"/>
      <c r="R2222" s="332"/>
      <c r="S2222" s="332"/>
      <c r="T2222" s="332"/>
    </row>
    <row r="2223" spans="1:20" x14ac:dyDescent="0.6">
      <c r="A2223" s="334"/>
      <c r="B2223" s="610"/>
      <c r="C2223" s="365"/>
      <c r="D2223" s="364"/>
      <c r="E2223" s="363"/>
      <c r="F2223" s="363"/>
      <c r="G2223" s="364"/>
      <c r="H2223" s="363"/>
      <c r="I2223" s="363"/>
      <c r="J2223" s="364"/>
      <c r="K2223" s="363"/>
      <c r="L2223" s="363"/>
      <c r="M2223" s="737"/>
      <c r="N2223" s="332"/>
      <c r="O2223" s="332"/>
      <c r="P2223" s="332"/>
      <c r="Q2223" s="332"/>
      <c r="R2223" s="332"/>
      <c r="S2223" s="332"/>
      <c r="T2223" s="332"/>
    </row>
    <row r="2224" spans="1:20" x14ac:dyDescent="0.6">
      <c r="A2224" s="334"/>
      <c r="B2224" s="610"/>
      <c r="C2224" s="365"/>
      <c r="D2224" s="364"/>
      <c r="E2224" s="363"/>
      <c r="F2224" s="363"/>
      <c r="G2224" s="364"/>
      <c r="H2224" s="363"/>
      <c r="I2224" s="363"/>
      <c r="J2224" s="364"/>
      <c r="K2224" s="363"/>
      <c r="L2224" s="363"/>
      <c r="M2224" s="737"/>
      <c r="N2224" s="332"/>
      <c r="O2224" s="332"/>
      <c r="P2224" s="332"/>
      <c r="Q2224" s="332"/>
      <c r="R2224" s="332"/>
      <c r="S2224" s="332"/>
      <c r="T2224" s="332"/>
    </row>
    <row r="2225" spans="1:20" x14ac:dyDescent="0.6">
      <c r="A2225" s="334"/>
      <c r="B2225" s="610"/>
      <c r="C2225" s="365"/>
      <c r="D2225" s="364"/>
      <c r="E2225" s="363"/>
      <c r="F2225" s="363"/>
      <c r="G2225" s="364"/>
      <c r="H2225" s="363"/>
      <c r="I2225" s="363"/>
      <c r="J2225" s="364"/>
      <c r="K2225" s="363"/>
      <c r="L2225" s="363"/>
      <c r="M2225" s="737"/>
      <c r="N2225" s="332"/>
      <c r="O2225" s="332"/>
      <c r="P2225" s="332"/>
      <c r="Q2225" s="332"/>
      <c r="R2225" s="332"/>
      <c r="S2225" s="332"/>
      <c r="T2225" s="332"/>
    </row>
    <row r="2226" spans="1:20" x14ac:dyDescent="0.6">
      <c r="A2226" s="334"/>
      <c r="B2226" s="610"/>
      <c r="C2226" s="365"/>
      <c r="D2226" s="364"/>
      <c r="E2226" s="363"/>
      <c r="F2226" s="363"/>
      <c r="G2226" s="364"/>
      <c r="H2226" s="363"/>
      <c r="I2226" s="363"/>
      <c r="J2226" s="364"/>
      <c r="K2226" s="363"/>
      <c r="L2226" s="363"/>
      <c r="M2226" s="737"/>
      <c r="N2226" s="332"/>
      <c r="O2226" s="332"/>
      <c r="P2226" s="332"/>
      <c r="Q2226" s="332"/>
      <c r="R2226" s="332"/>
      <c r="S2226" s="332"/>
      <c r="T2226" s="332"/>
    </row>
    <row r="2227" spans="1:20" x14ac:dyDescent="0.6">
      <c r="A2227" s="334"/>
      <c r="B2227" s="610"/>
      <c r="C2227" s="365"/>
      <c r="D2227" s="364"/>
      <c r="E2227" s="363"/>
      <c r="F2227" s="363"/>
      <c r="G2227" s="364"/>
      <c r="H2227" s="363"/>
      <c r="I2227" s="363"/>
      <c r="J2227" s="364"/>
      <c r="K2227" s="363"/>
      <c r="L2227" s="363"/>
      <c r="M2227" s="737"/>
      <c r="N2227" s="332"/>
      <c r="O2227" s="332"/>
      <c r="P2227" s="332"/>
      <c r="Q2227" s="332"/>
      <c r="R2227" s="332"/>
      <c r="S2227" s="332"/>
      <c r="T2227" s="332"/>
    </row>
    <row r="2228" spans="1:20" x14ac:dyDescent="0.6">
      <c r="A2228" s="334"/>
      <c r="B2228" s="610"/>
      <c r="C2228" s="365"/>
      <c r="D2228" s="364"/>
      <c r="E2228" s="363"/>
      <c r="F2228" s="363"/>
      <c r="G2228" s="364"/>
      <c r="H2228" s="363"/>
      <c r="I2228" s="363"/>
      <c r="J2228" s="364"/>
      <c r="K2228" s="363"/>
      <c r="L2228" s="363"/>
      <c r="M2228" s="737"/>
      <c r="N2228" s="332"/>
      <c r="O2228" s="332"/>
      <c r="P2228" s="332"/>
      <c r="Q2228" s="332"/>
      <c r="R2228" s="332"/>
      <c r="S2228" s="332"/>
      <c r="T2228" s="332"/>
    </row>
    <row r="2229" spans="1:20" x14ac:dyDescent="0.6">
      <c r="A2229" s="334"/>
      <c r="B2229" s="610"/>
      <c r="C2229" s="365"/>
      <c r="D2229" s="364"/>
      <c r="E2229" s="363"/>
      <c r="F2229" s="363"/>
      <c r="G2229" s="364"/>
      <c r="H2229" s="363"/>
      <c r="I2229" s="363"/>
      <c r="J2229" s="364"/>
      <c r="K2229" s="363"/>
      <c r="L2229" s="363"/>
      <c r="M2229" s="737"/>
      <c r="N2229" s="332"/>
      <c r="O2229" s="332"/>
      <c r="P2229" s="332"/>
      <c r="Q2229" s="332"/>
      <c r="R2229" s="332"/>
      <c r="S2229" s="332"/>
      <c r="T2229" s="332"/>
    </row>
    <row r="2230" spans="1:20" x14ac:dyDescent="0.6">
      <c r="A2230" s="334"/>
      <c r="B2230" s="610"/>
      <c r="C2230" s="365"/>
      <c r="D2230" s="364"/>
      <c r="E2230" s="363"/>
      <c r="F2230" s="363"/>
      <c r="G2230" s="364"/>
      <c r="H2230" s="363"/>
      <c r="I2230" s="363"/>
      <c r="J2230" s="364"/>
      <c r="K2230" s="363"/>
      <c r="L2230" s="363"/>
      <c r="M2230" s="737"/>
      <c r="N2230" s="332"/>
      <c r="O2230" s="332"/>
      <c r="P2230" s="332"/>
      <c r="Q2230" s="332"/>
      <c r="R2230" s="332"/>
      <c r="S2230" s="332"/>
      <c r="T2230" s="332"/>
    </row>
    <row r="2231" spans="1:20" x14ac:dyDescent="0.6">
      <c r="A2231" s="334"/>
      <c r="B2231" s="610"/>
      <c r="C2231" s="365"/>
      <c r="D2231" s="364"/>
      <c r="E2231" s="363"/>
      <c r="F2231" s="363"/>
      <c r="G2231" s="364"/>
      <c r="H2231" s="363"/>
      <c r="I2231" s="363"/>
      <c r="J2231" s="364"/>
      <c r="K2231" s="363"/>
      <c r="L2231" s="363"/>
      <c r="M2231" s="737"/>
      <c r="N2231" s="332"/>
      <c r="O2231" s="332"/>
      <c r="P2231" s="332"/>
      <c r="Q2231" s="332"/>
      <c r="R2231" s="332"/>
      <c r="S2231" s="332"/>
      <c r="T2231" s="332"/>
    </row>
    <row r="2232" spans="1:20" x14ac:dyDescent="0.6">
      <c r="A2232" s="334"/>
      <c r="B2232" s="610"/>
      <c r="C2232" s="365"/>
      <c r="D2232" s="364"/>
      <c r="E2232" s="363"/>
      <c r="F2232" s="363"/>
      <c r="G2232" s="364"/>
      <c r="H2232" s="363"/>
      <c r="I2232" s="363"/>
      <c r="J2232" s="364"/>
      <c r="K2232" s="363"/>
      <c r="L2232" s="363"/>
      <c r="M2232" s="737"/>
      <c r="N2232" s="332"/>
      <c r="O2232" s="332"/>
      <c r="P2232" s="332"/>
      <c r="Q2232" s="332"/>
      <c r="R2232" s="332"/>
      <c r="S2232" s="332"/>
      <c r="T2232" s="332"/>
    </row>
    <row r="2233" spans="1:20" x14ac:dyDescent="0.6">
      <c r="A2233" s="334"/>
      <c r="B2233" s="610"/>
      <c r="C2233" s="365"/>
      <c r="D2233" s="364"/>
      <c r="E2233" s="363"/>
      <c r="F2233" s="363"/>
      <c r="G2233" s="364"/>
      <c r="H2233" s="363"/>
      <c r="I2233" s="363"/>
      <c r="J2233" s="364"/>
      <c r="K2233" s="363"/>
      <c r="L2233" s="363"/>
      <c r="M2233" s="737"/>
      <c r="N2233" s="332"/>
      <c r="O2233" s="332"/>
      <c r="P2233" s="332"/>
      <c r="Q2233" s="332"/>
      <c r="R2233" s="332"/>
      <c r="S2233" s="332"/>
      <c r="T2233" s="332"/>
    </row>
    <row r="2234" spans="1:20" x14ac:dyDescent="0.6">
      <c r="A2234" s="334"/>
      <c r="B2234" s="610"/>
      <c r="C2234" s="365"/>
      <c r="D2234" s="364"/>
      <c r="E2234" s="363"/>
      <c r="F2234" s="363"/>
      <c r="G2234" s="364"/>
      <c r="H2234" s="363"/>
      <c r="I2234" s="363"/>
      <c r="J2234" s="364"/>
      <c r="K2234" s="363"/>
      <c r="L2234" s="363"/>
      <c r="M2234" s="737"/>
      <c r="N2234" s="332"/>
      <c r="O2234" s="332"/>
      <c r="P2234" s="332"/>
      <c r="Q2234" s="332"/>
      <c r="R2234" s="332"/>
      <c r="S2234" s="332"/>
      <c r="T2234" s="332"/>
    </row>
    <row r="2235" spans="1:20" x14ac:dyDescent="0.6">
      <c r="A2235" s="334"/>
      <c r="B2235" s="610"/>
      <c r="C2235" s="365"/>
      <c r="D2235" s="364"/>
      <c r="E2235" s="363"/>
      <c r="F2235" s="363"/>
      <c r="G2235" s="364"/>
      <c r="H2235" s="363"/>
      <c r="I2235" s="363"/>
      <c r="J2235" s="364"/>
      <c r="K2235" s="363"/>
      <c r="L2235" s="363"/>
      <c r="M2235" s="737"/>
      <c r="N2235" s="332"/>
      <c r="O2235" s="332"/>
      <c r="P2235" s="332"/>
      <c r="Q2235" s="332"/>
      <c r="R2235" s="332"/>
      <c r="S2235" s="332"/>
      <c r="T2235" s="332"/>
    </row>
    <row r="2236" spans="1:20" x14ac:dyDescent="0.6">
      <c r="A2236" s="334"/>
      <c r="B2236" s="610"/>
      <c r="C2236" s="365"/>
      <c r="D2236" s="364"/>
      <c r="E2236" s="363"/>
      <c r="F2236" s="363"/>
      <c r="G2236" s="364"/>
      <c r="H2236" s="363"/>
      <c r="I2236" s="363"/>
      <c r="J2236" s="364"/>
      <c r="K2236" s="363"/>
      <c r="L2236" s="363"/>
      <c r="M2236" s="737"/>
      <c r="N2236" s="332"/>
      <c r="O2236" s="332"/>
      <c r="P2236" s="332"/>
      <c r="Q2236" s="332"/>
      <c r="R2236" s="332"/>
      <c r="S2236" s="332"/>
      <c r="T2236" s="332"/>
    </row>
    <row r="2237" spans="1:20" x14ac:dyDescent="0.6">
      <c r="A2237" s="334"/>
      <c r="B2237" s="610"/>
      <c r="C2237" s="365"/>
      <c r="D2237" s="364"/>
      <c r="E2237" s="363"/>
      <c r="F2237" s="363"/>
      <c r="G2237" s="364"/>
      <c r="H2237" s="363"/>
      <c r="I2237" s="363"/>
      <c r="J2237" s="364"/>
      <c r="K2237" s="363"/>
      <c r="L2237" s="363"/>
      <c r="M2237" s="737"/>
      <c r="N2237" s="332"/>
      <c r="O2237" s="332"/>
      <c r="P2237" s="332"/>
      <c r="Q2237" s="332"/>
      <c r="R2237" s="332"/>
      <c r="S2237" s="332"/>
      <c r="T2237" s="332"/>
    </row>
    <row r="2238" spans="1:20" x14ac:dyDescent="0.6">
      <c r="A2238" s="334"/>
      <c r="B2238" s="610"/>
      <c r="C2238" s="365"/>
      <c r="D2238" s="364"/>
      <c r="E2238" s="363"/>
      <c r="F2238" s="363"/>
      <c r="G2238" s="364"/>
      <c r="H2238" s="363"/>
      <c r="I2238" s="363"/>
      <c r="J2238" s="364"/>
      <c r="K2238" s="363"/>
      <c r="L2238" s="363"/>
      <c r="M2238" s="737"/>
      <c r="N2238" s="332"/>
      <c r="O2238" s="332"/>
      <c r="P2238" s="332"/>
      <c r="Q2238" s="332"/>
      <c r="R2238" s="332"/>
      <c r="S2238" s="332"/>
      <c r="T2238" s="332"/>
    </row>
    <row r="2239" spans="1:20" x14ac:dyDescent="0.6">
      <c r="A2239" s="334"/>
      <c r="B2239" s="610"/>
      <c r="C2239" s="365"/>
      <c r="D2239" s="364"/>
      <c r="E2239" s="363"/>
      <c r="F2239" s="363"/>
      <c r="G2239" s="364"/>
      <c r="H2239" s="363"/>
      <c r="I2239" s="363"/>
      <c r="J2239" s="364"/>
      <c r="K2239" s="363"/>
      <c r="L2239" s="363"/>
      <c r="M2239" s="737"/>
      <c r="N2239" s="332"/>
      <c r="O2239" s="332"/>
      <c r="P2239" s="332"/>
      <c r="Q2239" s="332"/>
      <c r="R2239" s="332"/>
      <c r="S2239" s="332"/>
      <c r="T2239" s="332"/>
    </row>
    <row r="2240" spans="1:20" x14ac:dyDescent="0.6">
      <c r="A2240" s="334"/>
      <c r="B2240" s="610"/>
      <c r="C2240" s="365"/>
      <c r="D2240" s="364"/>
      <c r="E2240" s="363"/>
      <c r="F2240" s="363"/>
      <c r="G2240" s="364"/>
      <c r="H2240" s="363"/>
      <c r="I2240" s="363"/>
      <c r="J2240" s="364"/>
      <c r="K2240" s="363"/>
      <c r="L2240" s="363"/>
      <c r="M2240" s="737"/>
      <c r="N2240" s="332"/>
      <c r="O2240" s="332"/>
      <c r="P2240" s="332"/>
      <c r="Q2240" s="332"/>
      <c r="R2240" s="332"/>
      <c r="S2240" s="332"/>
      <c r="T2240" s="332"/>
    </row>
    <row r="2241" spans="1:20" x14ac:dyDescent="0.6">
      <c r="A2241" s="334"/>
      <c r="B2241" s="610"/>
      <c r="C2241" s="365"/>
      <c r="D2241" s="364"/>
      <c r="E2241" s="363"/>
      <c r="F2241" s="363"/>
      <c r="G2241" s="364"/>
      <c r="H2241" s="363"/>
      <c r="I2241" s="363"/>
      <c r="J2241" s="364"/>
      <c r="K2241" s="363"/>
      <c r="L2241" s="363"/>
      <c r="M2241" s="737"/>
      <c r="N2241" s="332"/>
      <c r="O2241" s="332"/>
      <c r="P2241" s="332"/>
      <c r="Q2241" s="332"/>
      <c r="R2241" s="332"/>
      <c r="S2241" s="332"/>
      <c r="T2241" s="332"/>
    </row>
    <row r="2242" spans="1:20" x14ac:dyDescent="0.6">
      <c r="A2242" s="334"/>
      <c r="B2242" s="610"/>
      <c r="C2242" s="365"/>
      <c r="D2242" s="364"/>
      <c r="E2242" s="363"/>
      <c r="F2242" s="363"/>
      <c r="G2242" s="364"/>
      <c r="H2242" s="363"/>
      <c r="I2242" s="363"/>
      <c r="J2242" s="364"/>
      <c r="K2242" s="363"/>
      <c r="L2242" s="363"/>
      <c r="M2242" s="737"/>
      <c r="N2242" s="332"/>
      <c r="O2242" s="332"/>
      <c r="P2242" s="332"/>
      <c r="Q2242" s="332"/>
      <c r="R2242" s="332"/>
      <c r="S2242" s="332"/>
      <c r="T2242" s="332"/>
    </row>
    <row r="2243" spans="1:20" x14ac:dyDescent="0.6">
      <c r="A2243" s="334"/>
      <c r="B2243" s="610"/>
      <c r="C2243" s="365"/>
      <c r="D2243" s="364"/>
      <c r="E2243" s="363"/>
      <c r="F2243" s="363"/>
      <c r="G2243" s="364"/>
      <c r="H2243" s="363"/>
      <c r="I2243" s="363"/>
      <c r="J2243" s="364"/>
      <c r="K2243" s="363"/>
      <c r="L2243" s="363"/>
      <c r="M2243" s="737"/>
      <c r="N2243" s="332"/>
      <c r="O2243" s="332"/>
      <c r="P2243" s="332"/>
      <c r="Q2243" s="332"/>
      <c r="R2243" s="332"/>
      <c r="S2243" s="332"/>
      <c r="T2243" s="332"/>
    </row>
    <row r="2244" spans="1:20" x14ac:dyDescent="0.6">
      <c r="A2244" s="334"/>
      <c r="B2244" s="610"/>
      <c r="C2244" s="365"/>
      <c r="D2244" s="364"/>
      <c r="E2244" s="363"/>
      <c r="F2244" s="363"/>
      <c r="G2244" s="364"/>
      <c r="H2244" s="363"/>
      <c r="I2244" s="363"/>
      <c r="J2244" s="364"/>
      <c r="K2244" s="363"/>
      <c r="L2244" s="363"/>
      <c r="M2244" s="737"/>
      <c r="N2244" s="332"/>
      <c r="O2244" s="332"/>
      <c r="P2244" s="332"/>
      <c r="Q2244" s="332"/>
      <c r="R2244" s="332"/>
      <c r="S2244" s="332"/>
      <c r="T2244" s="332"/>
    </row>
    <row r="2245" spans="1:20" x14ac:dyDescent="0.6">
      <c r="A2245" s="334"/>
      <c r="B2245" s="610"/>
      <c r="C2245" s="365"/>
      <c r="D2245" s="364"/>
      <c r="E2245" s="363"/>
      <c r="F2245" s="363"/>
      <c r="G2245" s="364"/>
      <c r="H2245" s="363"/>
      <c r="I2245" s="363"/>
      <c r="J2245" s="364"/>
      <c r="K2245" s="363"/>
      <c r="L2245" s="363"/>
      <c r="M2245" s="737"/>
      <c r="N2245" s="332"/>
      <c r="O2245" s="332"/>
      <c r="P2245" s="332"/>
      <c r="Q2245" s="332"/>
      <c r="R2245" s="332"/>
      <c r="S2245" s="332"/>
      <c r="T2245" s="332"/>
    </row>
    <row r="2246" spans="1:20" x14ac:dyDescent="0.6">
      <c r="A2246" s="334"/>
      <c r="B2246" s="610"/>
      <c r="C2246" s="365"/>
      <c r="D2246" s="364"/>
      <c r="E2246" s="363"/>
      <c r="F2246" s="363"/>
      <c r="G2246" s="364"/>
      <c r="H2246" s="363"/>
      <c r="I2246" s="363"/>
      <c r="J2246" s="364"/>
      <c r="K2246" s="363"/>
      <c r="L2246" s="363"/>
      <c r="M2246" s="737"/>
      <c r="N2246" s="332"/>
      <c r="O2246" s="332"/>
      <c r="P2246" s="332"/>
      <c r="Q2246" s="332"/>
      <c r="R2246" s="332"/>
      <c r="S2246" s="332"/>
      <c r="T2246" s="332"/>
    </row>
    <row r="2247" spans="1:20" x14ac:dyDescent="0.6">
      <c r="A2247" s="334"/>
      <c r="B2247" s="610"/>
      <c r="C2247" s="365"/>
      <c r="D2247" s="364"/>
      <c r="E2247" s="363"/>
      <c r="F2247" s="363"/>
      <c r="G2247" s="364"/>
      <c r="H2247" s="363"/>
      <c r="I2247" s="363"/>
      <c r="J2247" s="364"/>
      <c r="K2247" s="363"/>
      <c r="L2247" s="363"/>
      <c r="M2247" s="737"/>
      <c r="N2247" s="332"/>
      <c r="O2247" s="332"/>
      <c r="P2247" s="332"/>
      <c r="Q2247" s="332"/>
      <c r="R2247" s="332"/>
      <c r="S2247" s="332"/>
      <c r="T2247" s="332"/>
    </row>
    <row r="2248" spans="1:20" x14ac:dyDescent="0.6">
      <c r="A2248" s="334"/>
      <c r="B2248" s="610"/>
      <c r="C2248" s="365"/>
      <c r="D2248" s="364"/>
      <c r="E2248" s="363"/>
      <c r="F2248" s="363"/>
      <c r="G2248" s="364"/>
      <c r="H2248" s="363"/>
      <c r="I2248" s="363"/>
      <c r="J2248" s="364"/>
      <c r="K2248" s="363"/>
      <c r="L2248" s="363"/>
      <c r="M2248" s="737"/>
      <c r="N2248" s="332"/>
      <c r="O2248" s="332"/>
      <c r="P2248" s="332"/>
      <c r="Q2248" s="332"/>
      <c r="R2248" s="332"/>
      <c r="S2248" s="332"/>
      <c r="T2248" s="332"/>
    </row>
    <row r="2249" spans="1:20" x14ac:dyDescent="0.6">
      <c r="A2249" s="334"/>
      <c r="B2249" s="610"/>
      <c r="C2249" s="365"/>
      <c r="D2249" s="364"/>
      <c r="E2249" s="363"/>
      <c r="F2249" s="363"/>
      <c r="G2249" s="364"/>
      <c r="H2249" s="363"/>
      <c r="I2249" s="363"/>
      <c r="J2249" s="364"/>
      <c r="K2249" s="363"/>
      <c r="L2249" s="363"/>
      <c r="M2249" s="737"/>
      <c r="N2249" s="332"/>
      <c r="O2249" s="332"/>
      <c r="P2249" s="332"/>
      <c r="Q2249" s="332"/>
      <c r="R2249" s="332"/>
      <c r="S2249" s="332"/>
      <c r="T2249" s="332"/>
    </row>
    <row r="2250" spans="1:20" x14ac:dyDescent="0.6">
      <c r="A2250" s="334"/>
      <c r="B2250" s="610"/>
      <c r="C2250" s="365"/>
      <c r="D2250" s="364"/>
      <c r="E2250" s="363"/>
      <c r="F2250" s="363"/>
      <c r="G2250" s="364"/>
      <c r="H2250" s="363"/>
      <c r="I2250" s="363"/>
      <c r="J2250" s="364"/>
      <c r="K2250" s="363"/>
      <c r="L2250" s="363"/>
      <c r="M2250" s="737"/>
      <c r="N2250" s="332"/>
      <c r="O2250" s="332"/>
      <c r="P2250" s="332"/>
      <c r="Q2250" s="332"/>
      <c r="R2250" s="332"/>
      <c r="S2250" s="332"/>
      <c r="T2250" s="332"/>
    </row>
    <row r="2251" spans="1:20" x14ac:dyDescent="0.6">
      <c r="A2251" s="334"/>
      <c r="B2251" s="610"/>
      <c r="C2251" s="365"/>
      <c r="D2251" s="364"/>
      <c r="E2251" s="363"/>
      <c r="F2251" s="363"/>
      <c r="G2251" s="364"/>
      <c r="H2251" s="363"/>
      <c r="I2251" s="363"/>
      <c r="J2251" s="364"/>
      <c r="K2251" s="363"/>
      <c r="L2251" s="363"/>
      <c r="M2251" s="737"/>
      <c r="N2251" s="332"/>
      <c r="O2251" s="332"/>
      <c r="P2251" s="332"/>
      <c r="Q2251" s="332"/>
      <c r="R2251" s="332"/>
      <c r="S2251" s="332"/>
      <c r="T2251" s="332"/>
    </row>
    <row r="2252" spans="1:20" x14ac:dyDescent="0.6">
      <c r="A2252" s="334"/>
      <c r="B2252" s="610"/>
      <c r="C2252" s="365"/>
      <c r="D2252" s="364"/>
      <c r="E2252" s="363"/>
      <c r="F2252" s="363"/>
      <c r="G2252" s="364"/>
      <c r="H2252" s="363"/>
      <c r="I2252" s="363"/>
      <c r="J2252" s="364"/>
      <c r="K2252" s="363"/>
      <c r="L2252" s="363"/>
      <c r="M2252" s="737"/>
      <c r="N2252" s="332"/>
      <c r="O2252" s="332"/>
      <c r="P2252" s="332"/>
      <c r="Q2252" s="332"/>
      <c r="R2252" s="332"/>
      <c r="S2252" s="332"/>
      <c r="T2252" s="332"/>
    </row>
    <row r="2253" spans="1:20" x14ac:dyDescent="0.6">
      <c r="A2253" s="334"/>
      <c r="B2253" s="610"/>
      <c r="C2253" s="365"/>
      <c r="D2253" s="364"/>
      <c r="E2253" s="363"/>
      <c r="F2253" s="363"/>
      <c r="G2253" s="364"/>
      <c r="H2253" s="363"/>
      <c r="I2253" s="363"/>
      <c r="J2253" s="364"/>
      <c r="K2253" s="363"/>
      <c r="L2253" s="363"/>
      <c r="M2253" s="737"/>
      <c r="N2253" s="332"/>
      <c r="O2253" s="332"/>
      <c r="P2253" s="332"/>
      <c r="Q2253" s="332"/>
      <c r="R2253" s="332"/>
      <c r="S2253" s="332"/>
      <c r="T2253" s="332"/>
    </row>
    <row r="2254" spans="1:20" x14ac:dyDescent="0.6">
      <c r="A2254" s="334"/>
      <c r="B2254" s="610"/>
      <c r="C2254" s="365"/>
      <c r="D2254" s="364"/>
      <c r="E2254" s="363"/>
      <c r="F2254" s="363"/>
      <c r="G2254" s="364"/>
      <c r="H2254" s="363"/>
      <c r="I2254" s="363"/>
      <c r="J2254" s="364"/>
      <c r="K2254" s="363"/>
      <c r="L2254" s="363"/>
      <c r="M2254" s="737"/>
      <c r="N2254" s="332"/>
      <c r="O2254" s="332"/>
      <c r="P2254" s="332"/>
      <c r="Q2254" s="332"/>
      <c r="R2254" s="332"/>
      <c r="S2254" s="332"/>
      <c r="T2254" s="332"/>
    </row>
    <row r="2255" spans="1:20" x14ac:dyDescent="0.6">
      <c r="A2255" s="334"/>
      <c r="B2255" s="610"/>
      <c r="C2255" s="365"/>
      <c r="D2255" s="364"/>
      <c r="E2255" s="363"/>
      <c r="F2255" s="363"/>
      <c r="G2255" s="364"/>
      <c r="H2255" s="363"/>
      <c r="I2255" s="363"/>
      <c r="J2255" s="364"/>
      <c r="K2255" s="363"/>
      <c r="L2255" s="363"/>
      <c r="M2255" s="737"/>
      <c r="N2255" s="332"/>
      <c r="O2255" s="332"/>
      <c r="P2255" s="332"/>
      <c r="Q2255" s="332"/>
      <c r="R2255" s="332"/>
      <c r="S2255" s="332"/>
      <c r="T2255" s="332"/>
    </row>
    <row r="2256" spans="1:20" x14ac:dyDescent="0.6">
      <c r="A2256" s="334"/>
      <c r="B2256" s="610"/>
      <c r="C2256" s="365"/>
      <c r="D2256" s="364"/>
      <c r="E2256" s="363"/>
      <c r="F2256" s="363"/>
      <c r="G2256" s="364"/>
      <c r="H2256" s="363"/>
      <c r="I2256" s="363"/>
      <c r="J2256" s="364"/>
      <c r="K2256" s="363"/>
      <c r="L2256" s="363"/>
      <c r="M2256" s="737"/>
      <c r="N2256" s="332"/>
      <c r="O2256" s="332"/>
      <c r="P2256" s="332"/>
      <c r="Q2256" s="332"/>
      <c r="R2256" s="332"/>
      <c r="S2256" s="332"/>
      <c r="T2256" s="332"/>
    </row>
    <row r="2257" spans="1:20" x14ac:dyDescent="0.6">
      <c r="A2257" s="334"/>
      <c r="B2257" s="610"/>
      <c r="C2257" s="365"/>
      <c r="D2257" s="364"/>
      <c r="E2257" s="363"/>
      <c r="F2257" s="363"/>
      <c r="G2257" s="364"/>
      <c r="H2257" s="363"/>
      <c r="I2257" s="363"/>
      <c r="J2257" s="364"/>
      <c r="K2257" s="363"/>
      <c r="L2257" s="363"/>
      <c r="M2257" s="737"/>
      <c r="N2257" s="332"/>
      <c r="O2257" s="332"/>
      <c r="P2257" s="332"/>
      <c r="Q2257" s="332"/>
      <c r="R2257" s="332"/>
      <c r="S2257" s="332"/>
      <c r="T2257" s="332"/>
    </row>
    <row r="2258" spans="1:20" x14ac:dyDescent="0.6">
      <c r="A2258" s="334"/>
      <c r="B2258" s="610"/>
      <c r="C2258" s="365"/>
      <c r="D2258" s="364"/>
      <c r="E2258" s="363"/>
      <c r="F2258" s="363"/>
      <c r="G2258" s="364"/>
      <c r="H2258" s="363"/>
      <c r="I2258" s="363"/>
      <c r="J2258" s="364"/>
      <c r="K2258" s="363"/>
      <c r="L2258" s="363"/>
      <c r="M2258" s="737"/>
      <c r="N2258" s="332"/>
      <c r="O2258" s="332"/>
      <c r="P2258" s="332"/>
      <c r="Q2258" s="332"/>
      <c r="R2258" s="332"/>
      <c r="S2258" s="332"/>
      <c r="T2258" s="332"/>
    </row>
    <row r="2259" spans="1:20" x14ac:dyDescent="0.6">
      <c r="A2259" s="334"/>
      <c r="B2259" s="610"/>
      <c r="C2259" s="365"/>
      <c r="D2259" s="364"/>
      <c r="E2259" s="363"/>
      <c r="F2259" s="363"/>
      <c r="G2259" s="364"/>
      <c r="H2259" s="363"/>
      <c r="I2259" s="363"/>
      <c r="J2259" s="364"/>
      <c r="K2259" s="363"/>
      <c r="L2259" s="363"/>
      <c r="M2259" s="737"/>
      <c r="N2259" s="332"/>
      <c r="O2259" s="332"/>
      <c r="P2259" s="332"/>
      <c r="Q2259" s="332"/>
      <c r="R2259" s="332"/>
      <c r="S2259" s="332"/>
      <c r="T2259" s="332"/>
    </row>
    <row r="2260" spans="1:20" x14ac:dyDescent="0.6">
      <c r="A2260" s="334"/>
      <c r="B2260" s="610"/>
      <c r="C2260" s="365"/>
      <c r="D2260" s="364"/>
      <c r="E2260" s="363"/>
      <c r="F2260" s="363"/>
      <c r="G2260" s="364"/>
      <c r="H2260" s="363"/>
      <c r="I2260" s="363"/>
      <c r="J2260" s="364"/>
      <c r="K2260" s="363"/>
      <c r="L2260" s="363"/>
      <c r="M2260" s="737"/>
      <c r="N2260" s="332"/>
      <c r="O2260" s="332"/>
      <c r="P2260" s="332"/>
      <c r="Q2260" s="332"/>
      <c r="R2260" s="332"/>
      <c r="S2260" s="332"/>
      <c r="T2260" s="332"/>
    </row>
  </sheetData>
  <mergeCells count="18">
    <mergeCell ref="A133:A154"/>
    <mergeCell ref="A1:A22"/>
    <mergeCell ref="A45:A66"/>
    <mergeCell ref="A67:A88"/>
    <mergeCell ref="A89:A110"/>
    <mergeCell ref="A111:A132"/>
    <mergeCell ref="A23:A44"/>
    <mergeCell ref="C295:H295"/>
    <mergeCell ref="A155:A176"/>
    <mergeCell ref="A177:A198"/>
    <mergeCell ref="A200:A221"/>
    <mergeCell ref="A222:A243"/>
    <mergeCell ref="A244:A265"/>
    <mergeCell ref="A266:A287"/>
    <mergeCell ref="B289:H290"/>
    <mergeCell ref="B292:H293"/>
    <mergeCell ref="A289:A290"/>
    <mergeCell ref="A292:A293"/>
  </mergeCells>
  <hyperlinks>
    <hyperlink ref="B1" location="'Index &amp; Instructions'!A1" display="District"/>
  </hyperlinks>
  <printOptions horizontalCentered="1"/>
  <pageMargins left="0.18" right="0.17" top="0.56000000000000005" bottom="0.63" header="0.17" footer="0.17"/>
  <pageSetup paperSize="5" scale="68" fitToHeight="6" orientation="landscape" r:id="rId1"/>
  <headerFooter alignWithMargins="0">
    <oddHeader>&amp;C&amp;"Arial,Bold"&amp;12ODF Timber Sales
Ten Year Plan/Sold/Harvest</oddHeader>
    <oddFooter xml:space="preserve">&amp;L&amp;8ODF State Forests Division
Maintained by Elise Loewen
Reviewed by Joan Tenny&amp;R&amp;8last Update: Apr 2015
&amp;F
</oddFooter>
  </headerFooter>
  <rowBreaks count="5" manualBreakCount="5">
    <brk id="66" max="13" man="1"/>
    <brk id="132" max="13" man="1"/>
    <brk id="199" max="13" man="1"/>
    <brk id="265" max="13" man="1"/>
    <brk id="287" max="1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election activeCell="D2" sqref="D2"/>
    </sheetView>
  </sheetViews>
  <sheetFormatPr defaultRowHeight="13.2" x14ac:dyDescent="0.25"/>
  <cols>
    <col min="1" max="1" width="7.33203125" style="499" customWidth="1"/>
    <col min="2" max="2" width="17.44140625" style="499" customWidth="1"/>
    <col min="3" max="3" width="8.77734375" style="499" customWidth="1"/>
    <col min="4" max="4" width="11" style="499" customWidth="1"/>
    <col min="5" max="6" width="11.77734375" style="1" customWidth="1"/>
    <col min="7" max="16384" width="8.88671875" style="1"/>
  </cols>
  <sheetData>
    <row r="1" spans="1:15" x14ac:dyDescent="0.25">
      <c r="A1" s="618" t="s">
        <v>204</v>
      </c>
      <c r="B1" s="623" t="s">
        <v>430</v>
      </c>
      <c r="C1" s="908" t="s">
        <v>476</v>
      </c>
      <c r="D1" s="908"/>
      <c r="E1" s="908"/>
      <c r="F1" s="908"/>
      <c r="G1" s="908"/>
      <c r="H1" s="908"/>
      <c r="I1" s="908"/>
      <c r="J1" s="908"/>
      <c r="K1" s="908"/>
      <c r="L1" s="908"/>
      <c r="M1" s="908"/>
      <c r="N1" s="908"/>
      <c r="O1" s="908"/>
    </row>
    <row r="2" spans="1:15" x14ac:dyDescent="0.25">
      <c r="D2" s="852" t="s">
        <v>532</v>
      </c>
    </row>
    <row r="3" spans="1:15" s="621" customFormat="1" ht="30.6" x14ac:dyDescent="0.25">
      <c r="A3" s="619" t="s">
        <v>14</v>
      </c>
      <c r="B3" s="620" t="s">
        <v>413</v>
      </c>
      <c r="C3" s="620" t="s">
        <v>412</v>
      </c>
      <c r="D3" s="620" t="s">
        <v>411</v>
      </c>
      <c r="E3" s="1"/>
      <c r="F3" s="1"/>
    </row>
    <row r="4" spans="1:15" x14ac:dyDescent="0.25">
      <c r="A4" s="499" t="s">
        <v>434</v>
      </c>
      <c r="B4" s="622">
        <v>64921</v>
      </c>
      <c r="C4" s="30">
        <v>111887.25</v>
      </c>
      <c r="D4" s="622">
        <v>86637.670000000013</v>
      </c>
    </row>
    <row r="5" spans="1:15" x14ac:dyDescent="0.25">
      <c r="A5" s="499" t="s">
        <v>435</v>
      </c>
      <c r="B5" s="622">
        <v>144000</v>
      </c>
      <c r="C5" s="30">
        <v>177019</v>
      </c>
      <c r="D5" s="622">
        <v>141326.09</v>
      </c>
    </row>
    <row r="6" spans="1:15" x14ac:dyDescent="0.25">
      <c r="A6" s="499" t="s">
        <v>436</v>
      </c>
      <c r="B6" s="622">
        <v>150535</v>
      </c>
      <c r="C6" s="30">
        <v>96634.65</v>
      </c>
      <c r="D6" s="622">
        <v>102194.84</v>
      </c>
    </row>
    <row r="7" spans="1:15" x14ac:dyDescent="0.25">
      <c r="A7" s="499" t="s">
        <v>437</v>
      </c>
      <c r="B7" s="622">
        <v>145835</v>
      </c>
      <c r="C7" s="30">
        <v>188336.8</v>
      </c>
      <c r="D7" s="622">
        <v>161798.23000000001</v>
      </c>
    </row>
    <row r="8" spans="1:15" x14ac:dyDescent="0.25">
      <c r="A8" s="499" t="s">
        <v>283</v>
      </c>
      <c r="B8" s="622">
        <v>207715</v>
      </c>
      <c r="C8" s="30">
        <v>190779.7</v>
      </c>
      <c r="D8" s="622">
        <v>205724.79999999999</v>
      </c>
    </row>
    <row r="9" spans="1:15" x14ac:dyDescent="0.25">
      <c r="A9" s="499" t="s">
        <v>284</v>
      </c>
      <c r="B9" s="622">
        <v>184680</v>
      </c>
      <c r="C9" s="30">
        <v>176235</v>
      </c>
      <c r="D9" s="622">
        <v>173889.65000000002</v>
      </c>
    </row>
    <row r="10" spans="1:15" x14ac:dyDescent="0.25">
      <c r="A10" s="499" t="s">
        <v>285</v>
      </c>
      <c r="B10" s="622">
        <v>178228</v>
      </c>
      <c r="C10" s="30">
        <v>199059</v>
      </c>
      <c r="D10" s="622">
        <v>214472.49999999997</v>
      </c>
    </row>
    <row r="11" spans="1:15" x14ac:dyDescent="0.25">
      <c r="A11" s="499" t="s">
        <v>286</v>
      </c>
      <c r="B11" s="622">
        <v>195585</v>
      </c>
      <c r="C11" s="30">
        <v>228202</v>
      </c>
      <c r="D11" s="622">
        <v>254218.66999999998</v>
      </c>
    </row>
    <row r="12" spans="1:15" x14ac:dyDescent="0.25">
      <c r="A12" s="499" t="s">
        <v>287</v>
      </c>
      <c r="B12" s="622">
        <v>251977</v>
      </c>
      <c r="C12" s="30">
        <v>268458</v>
      </c>
      <c r="D12" s="622">
        <v>239491.30000000002</v>
      </c>
    </row>
    <row r="13" spans="1:15" x14ac:dyDescent="0.25">
      <c r="A13" s="499" t="s">
        <v>288</v>
      </c>
      <c r="B13" s="622">
        <v>230230</v>
      </c>
      <c r="C13" s="30">
        <v>213209</v>
      </c>
      <c r="D13" s="622">
        <v>267243.32999999996</v>
      </c>
    </row>
    <row r="14" spans="1:15" x14ac:dyDescent="0.25">
      <c r="A14" s="499" t="s">
        <v>289</v>
      </c>
      <c r="B14" s="622">
        <v>286312</v>
      </c>
      <c r="C14" s="30">
        <v>267926.92</v>
      </c>
      <c r="D14" s="622">
        <v>272490.2</v>
      </c>
    </row>
    <row r="15" spans="1:15" x14ac:dyDescent="0.25">
      <c r="A15" s="499" t="s">
        <v>290</v>
      </c>
      <c r="B15" s="622">
        <v>205870</v>
      </c>
      <c r="C15" s="30">
        <v>247287</v>
      </c>
      <c r="D15" s="622">
        <v>237500.45</v>
      </c>
    </row>
    <row r="16" spans="1:15" x14ac:dyDescent="0.25">
      <c r="A16" s="499" t="s">
        <v>291</v>
      </c>
      <c r="B16" s="622">
        <v>201700</v>
      </c>
      <c r="C16" s="30">
        <v>206698</v>
      </c>
      <c r="D16" s="622">
        <v>230897</v>
      </c>
    </row>
    <row r="17" spans="1:4" x14ac:dyDescent="0.25">
      <c r="A17" s="499" t="s">
        <v>292</v>
      </c>
      <c r="B17" s="622">
        <v>210533</v>
      </c>
      <c r="C17" s="30">
        <v>208052</v>
      </c>
      <c r="D17" s="622">
        <v>233170.19</v>
      </c>
    </row>
    <row r="18" spans="1:4" x14ac:dyDescent="0.25">
      <c r="A18" s="499" t="s">
        <v>293</v>
      </c>
      <c r="B18" s="622">
        <v>192001</v>
      </c>
      <c r="C18" s="30">
        <v>200303</v>
      </c>
      <c r="D18" s="622">
        <v>261320.74</v>
      </c>
    </row>
    <row r="19" spans="1:4" x14ac:dyDescent="0.25">
      <c r="A19" s="499" t="s">
        <v>294</v>
      </c>
      <c r="B19" s="622">
        <v>201839.5</v>
      </c>
      <c r="C19" s="30">
        <v>191819</v>
      </c>
      <c r="D19" s="622">
        <v>221282</v>
      </c>
    </row>
    <row r="20" spans="1:4" x14ac:dyDescent="0.25">
      <c r="A20" s="499" t="s">
        <v>295</v>
      </c>
      <c r="B20" s="622">
        <v>209841</v>
      </c>
      <c r="C20" s="30">
        <v>210608</v>
      </c>
      <c r="D20" s="622">
        <v>216315.52000000002</v>
      </c>
    </row>
    <row r="21" spans="1:4" x14ac:dyDescent="0.25">
      <c r="A21" s="499" t="s">
        <v>296</v>
      </c>
      <c r="B21" s="622">
        <v>207776</v>
      </c>
      <c r="C21" s="30">
        <v>217021.98</v>
      </c>
      <c r="D21" s="622">
        <v>219601.12</v>
      </c>
    </row>
    <row r="22" spans="1:4" x14ac:dyDescent="0.25">
      <c r="A22" s="499" t="s">
        <v>297</v>
      </c>
      <c r="B22" s="622">
        <v>220461</v>
      </c>
      <c r="C22" s="30">
        <v>199802</v>
      </c>
      <c r="D22" s="622">
        <v>214812.94999999998</v>
      </c>
    </row>
    <row r="23" spans="1:4" x14ac:dyDescent="0.25">
      <c r="A23" s="499" t="s">
        <v>298</v>
      </c>
      <c r="B23" s="622">
        <v>215330</v>
      </c>
      <c r="C23" s="30">
        <v>219675.7</v>
      </c>
      <c r="D23" s="622">
        <v>246800.58999999997</v>
      </c>
    </row>
    <row r="24" spans="1:4" x14ac:dyDescent="0.25">
      <c r="A24" s="1"/>
      <c r="B24" s="1"/>
      <c r="C24" s="1"/>
      <c r="D24" s="1"/>
    </row>
    <row r="25" spans="1:4" x14ac:dyDescent="0.25">
      <c r="A25" s="1"/>
      <c r="B25" s="1"/>
      <c r="C25" s="1"/>
      <c r="D25" s="1"/>
    </row>
    <row r="26" spans="1:4" x14ac:dyDescent="0.25">
      <c r="A26" s="1"/>
      <c r="B26" s="1"/>
      <c r="C26" s="1"/>
      <c r="D26" s="1"/>
    </row>
    <row r="37" spans="1:9" x14ac:dyDescent="0.25">
      <c r="A37" s="618" t="s">
        <v>204</v>
      </c>
      <c r="B37" s="623" t="s">
        <v>433</v>
      </c>
      <c r="C37" s="907" t="s">
        <v>441</v>
      </c>
      <c r="D37" s="907"/>
      <c r="E37" s="907"/>
      <c r="F37" s="907"/>
      <c r="G37" s="907"/>
      <c r="H37" s="907"/>
      <c r="I37" s="907"/>
    </row>
    <row r="39" spans="1:9" ht="30.6" x14ac:dyDescent="0.25">
      <c r="A39" s="619" t="s">
        <v>14</v>
      </c>
      <c r="B39" s="620" t="s">
        <v>413</v>
      </c>
      <c r="C39" s="620" t="s">
        <v>412</v>
      </c>
      <c r="D39" s="620" t="s">
        <v>411</v>
      </c>
      <c r="E39" s="625" t="s">
        <v>439</v>
      </c>
      <c r="F39" s="625" t="s">
        <v>440</v>
      </c>
      <c r="G39" s="621"/>
      <c r="H39" s="621"/>
      <c r="I39" s="621"/>
    </row>
    <row r="40" spans="1:9" x14ac:dyDescent="0.25">
      <c r="A40" s="499" t="s">
        <v>434</v>
      </c>
      <c r="B40" s="622">
        <v>82077</v>
      </c>
      <c r="C40" s="30">
        <v>156835.15</v>
      </c>
      <c r="D40" s="622">
        <v>110026.5</v>
      </c>
      <c r="E40" s="624">
        <v>0.34052779706860631</v>
      </c>
      <c r="F40" s="624">
        <v>-0.29845764804637226</v>
      </c>
    </row>
    <row r="41" spans="1:9" x14ac:dyDescent="0.25">
      <c r="A41" s="499" t="s">
        <v>435</v>
      </c>
      <c r="B41" s="622">
        <v>180801</v>
      </c>
      <c r="C41" s="30">
        <v>219417.99</v>
      </c>
      <c r="D41" s="622">
        <v>164201.05000000002</v>
      </c>
      <c r="E41" s="624">
        <v>-9.1813374926023539E-2</v>
      </c>
      <c r="F41" s="624">
        <v>-0.25165183584080764</v>
      </c>
    </row>
    <row r="42" spans="1:9" x14ac:dyDescent="0.25">
      <c r="A42" s="499" t="s">
        <v>436</v>
      </c>
      <c r="B42" s="622">
        <v>176965</v>
      </c>
      <c r="C42" s="30">
        <v>105947.65</v>
      </c>
      <c r="D42" s="622">
        <v>128410.79000000001</v>
      </c>
      <c r="E42" s="624">
        <v>-0.27437182493713441</v>
      </c>
      <c r="F42" s="624">
        <v>0.21202112552756022</v>
      </c>
    </row>
    <row r="43" spans="1:9" x14ac:dyDescent="0.25">
      <c r="A43" s="499" t="s">
        <v>437</v>
      </c>
      <c r="B43" s="622">
        <v>199525</v>
      </c>
      <c r="C43" s="30">
        <v>255132.79999999999</v>
      </c>
      <c r="D43" s="622">
        <v>207892.30000000002</v>
      </c>
      <c r="E43" s="624">
        <v>4.1936098233304187E-2</v>
      </c>
      <c r="F43" s="624">
        <v>-0.1851604340954984</v>
      </c>
    </row>
    <row r="44" spans="1:9" x14ac:dyDescent="0.25">
      <c r="A44" s="499" t="s">
        <v>283</v>
      </c>
      <c r="B44" s="622">
        <v>256164</v>
      </c>
      <c r="C44" s="30">
        <v>239614.7</v>
      </c>
      <c r="D44" s="622">
        <v>263879.71000000002</v>
      </c>
      <c r="E44" s="624">
        <v>3.0120196436657847E-2</v>
      </c>
      <c r="F44" s="624">
        <v>0.10126678371569027</v>
      </c>
    </row>
    <row r="45" spans="1:9" x14ac:dyDescent="0.25">
      <c r="A45" s="499" t="s">
        <v>284</v>
      </c>
      <c r="B45" s="622">
        <v>226764</v>
      </c>
      <c r="C45" s="30">
        <v>209334</v>
      </c>
      <c r="D45" s="622">
        <v>228695.24</v>
      </c>
      <c r="E45" s="624">
        <v>8.5165193769733763E-3</v>
      </c>
      <c r="F45" s="624">
        <v>9.2489705446797896E-2</v>
      </c>
    </row>
    <row r="46" spans="1:9" x14ac:dyDescent="0.25">
      <c r="A46" s="499" t="s">
        <v>285</v>
      </c>
      <c r="B46" s="622">
        <v>205628</v>
      </c>
      <c r="C46" s="30">
        <v>226462</v>
      </c>
      <c r="D46" s="622">
        <v>257883.21999999997</v>
      </c>
      <c r="E46" s="624">
        <v>0.25412502188417907</v>
      </c>
      <c r="F46" s="624">
        <v>0.13874831097490958</v>
      </c>
    </row>
    <row r="47" spans="1:9" x14ac:dyDescent="0.25">
      <c r="A47" s="499" t="s">
        <v>286</v>
      </c>
      <c r="B47" s="622">
        <v>232156</v>
      </c>
      <c r="C47" s="30">
        <v>251199</v>
      </c>
      <c r="D47" s="622">
        <v>277822.17</v>
      </c>
      <c r="E47" s="624">
        <v>0.19670467272006747</v>
      </c>
      <c r="F47" s="624">
        <v>0.10598437891870582</v>
      </c>
    </row>
    <row r="48" spans="1:9" x14ac:dyDescent="0.25">
      <c r="A48" s="499" t="s">
        <v>287</v>
      </c>
      <c r="B48" s="622">
        <v>294567</v>
      </c>
      <c r="C48" s="30">
        <v>321003</v>
      </c>
      <c r="D48" s="622">
        <v>271809.19</v>
      </c>
      <c r="E48" s="624">
        <v>-7.7258518435534176E-2</v>
      </c>
      <c r="F48" s="624">
        <v>-0.15325031230237723</v>
      </c>
    </row>
    <row r="49" spans="1:6" x14ac:dyDescent="0.25">
      <c r="A49" s="499" t="s">
        <v>288</v>
      </c>
      <c r="B49" s="622">
        <v>262520</v>
      </c>
      <c r="C49" s="30">
        <v>246682</v>
      </c>
      <c r="D49" s="622">
        <v>323761.36</v>
      </c>
      <c r="E49" s="624">
        <v>0.23328264513179942</v>
      </c>
      <c r="F49" s="624">
        <v>0.31246446842493569</v>
      </c>
    </row>
    <row r="50" spans="1:6" x14ac:dyDescent="0.25">
      <c r="A50" s="499" t="s">
        <v>289</v>
      </c>
      <c r="B50" s="622">
        <v>322355</v>
      </c>
      <c r="C50" s="30">
        <v>311785.92</v>
      </c>
      <c r="D50" s="622">
        <v>294741.19999999995</v>
      </c>
      <c r="E50" s="624">
        <v>-8.5662701059391194E-2</v>
      </c>
      <c r="F50" s="624">
        <v>-5.4668023495095711E-2</v>
      </c>
    </row>
    <row r="51" spans="1:6" x14ac:dyDescent="0.25">
      <c r="A51" s="499" t="s">
        <v>290</v>
      </c>
      <c r="B51" s="622">
        <v>236555</v>
      </c>
      <c r="C51" s="30">
        <v>266538</v>
      </c>
      <c r="D51" s="622">
        <v>271481.43000000005</v>
      </c>
      <c r="E51" s="624">
        <v>0.14764612880725433</v>
      </c>
      <c r="F51" s="624">
        <v>1.8546811336470039E-2</v>
      </c>
    </row>
    <row r="52" spans="1:6" x14ac:dyDescent="0.25">
      <c r="A52" s="499" t="s">
        <v>291</v>
      </c>
      <c r="B52" s="622">
        <v>230900</v>
      </c>
      <c r="C52" s="30">
        <v>251994</v>
      </c>
      <c r="D52" s="622">
        <v>259552</v>
      </c>
      <c r="E52" s="624">
        <v>0.12408834993503681</v>
      </c>
      <c r="F52" s="624">
        <v>2.999277760581601E-2</v>
      </c>
    </row>
    <row r="53" spans="1:6" x14ac:dyDescent="0.25">
      <c r="A53" s="499" t="s">
        <v>292</v>
      </c>
      <c r="B53" s="622">
        <v>249039.75</v>
      </c>
      <c r="C53" s="30">
        <v>251409.0925</v>
      </c>
      <c r="D53" s="622">
        <v>266201.35000000003</v>
      </c>
      <c r="E53" s="624">
        <v>6.891108748703785E-2</v>
      </c>
      <c r="F53" s="624">
        <v>5.8837400640153997E-2</v>
      </c>
    </row>
    <row r="54" spans="1:6" x14ac:dyDescent="0.25">
      <c r="A54" s="499" t="s">
        <v>293</v>
      </c>
      <c r="B54" s="622">
        <v>226621</v>
      </c>
      <c r="C54" s="30">
        <v>233250</v>
      </c>
      <c r="D54" s="622">
        <v>292953.74</v>
      </c>
      <c r="E54" s="624">
        <v>0.29270341230512614</v>
      </c>
      <c r="F54" s="624">
        <v>0.25596458735262589</v>
      </c>
    </row>
    <row r="55" spans="1:6" x14ac:dyDescent="0.25">
      <c r="A55" s="499" t="s">
        <v>294</v>
      </c>
      <c r="B55" s="622">
        <v>235968.5</v>
      </c>
      <c r="C55" s="30">
        <v>231452</v>
      </c>
      <c r="D55" s="622">
        <v>271677</v>
      </c>
      <c r="E55" s="624">
        <v>0.1513274017506574</v>
      </c>
      <c r="F55" s="624">
        <v>0.17379413442095987</v>
      </c>
    </row>
    <row r="56" spans="1:6" x14ac:dyDescent="0.25">
      <c r="A56" s="499" t="s">
        <v>295</v>
      </c>
      <c r="B56" s="622">
        <v>215441</v>
      </c>
      <c r="C56" s="30">
        <v>214724</v>
      </c>
      <c r="D56" s="622">
        <v>262941.03999999998</v>
      </c>
      <c r="E56" s="624">
        <v>0.22047818196165064</v>
      </c>
      <c r="F56" s="624">
        <v>0.22455356643877714</v>
      </c>
    </row>
    <row r="57" spans="1:6" x14ac:dyDescent="0.25">
      <c r="A57" s="499" t="s">
        <v>296</v>
      </c>
      <c r="B57" s="622">
        <v>239894</v>
      </c>
      <c r="C57" s="30">
        <v>241670.98</v>
      </c>
      <c r="D57" s="622">
        <v>240564.01</v>
      </c>
      <c r="E57" s="624">
        <v>2.7929418826648823E-3</v>
      </c>
      <c r="F57" s="624">
        <v>-4.5804837635035909E-3</v>
      </c>
    </row>
    <row r="58" spans="1:6" x14ac:dyDescent="0.25">
      <c r="A58" s="499" t="s">
        <v>297</v>
      </c>
      <c r="B58" s="622">
        <v>225507</v>
      </c>
      <c r="C58" s="30">
        <v>211897</v>
      </c>
      <c r="D58" s="622">
        <v>231821.64999999997</v>
      </c>
      <c r="E58" s="624">
        <v>2.8002013241273951E-2</v>
      </c>
      <c r="F58" s="624">
        <v>9.4029882442884821E-2</v>
      </c>
    </row>
    <row r="59" spans="1:6" x14ac:dyDescent="0.25">
      <c r="A59" s="499" t="s">
        <v>298</v>
      </c>
      <c r="B59" s="622">
        <v>237992</v>
      </c>
      <c r="C59" s="30">
        <v>228615.7</v>
      </c>
      <c r="D59" s="622">
        <v>274174.55999999994</v>
      </c>
      <c r="E59" s="624">
        <v>0.15203267336717174</v>
      </c>
      <c r="F59" s="624">
        <v>0.19928141418109047</v>
      </c>
    </row>
  </sheetData>
  <mergeCells count="2">
    <mergeCell ref="C37:I37"/>
    <mergeCell ref="C1:O1"/>
  </mergeCells>
  <hyperlinks>
    <hyperlink ref="D2" location="'Index &amp; Instructions'!A1" display="HOME"/>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0CBB58CB5252549B50792C1AC597550" ma:contentTypeVersion="11" ma:contentTypeDescription="Create a new document." ma:contentTypeScope="" ma:versionID="e1fb96fcc63184d7abaf4c38d2db2741">
  <xsd:schema xmlns:xsd="http://www.w3.org/2001/XMLSchema" xmlns:xs="http://www.w3.org/2001/XMLSchema" xmlns:p="http://schemas.microsoft.com/office/2006/metadata/properties" xmlns:ns2="658d1b7c-49b7-4b2e-a75e-0144460d42f7" xmlns:ns3="a7f6e110-b6b7-498b-b885-b4758e086be1" xmlns:ns4="c52b83c4-1812-43d0-a956-0d29ee2b6db3" xmlns:ns5="0dd2282d-73dd-4702-9411-3a19115ab963" targetNamespace="http://schemas.microsoft.com/office/2006/metadata/properties" ma:root="true" ma:fieldsID="121392ca882e0d50e4508647e5cc1707" ns2:_="" ns3:_="" ns4:_="" ns5:_="">
    <xsd:import namespace="658d1b7c-49b7-4b2e-a75e-0144460d42f7"/>
    <xsd:import namespace="a7f6e110-b6b7-498b-b885-b4758e086be1"/>
    <xsd:import namespace="c52b83c4-1812-43d0-a956-0d29ee2b6db3"/>
    <xsd:import namespace="0dd2282d-73dd-4702-9411-3a19115ab963"/>
    <xsd:element name="properties">
      <xsd:complexType>
        <xsd:sequence>
          <xsd:element name="documentManagement">
            <xsd:complexType>
              <xsd:all>
                <xsd:element ref="ns2:Document_x0020_Description" minOccurs="0"/>
                <xsd:element ref="ns2:ODF_x0020_Category"/>
                <xsd:element ref="ns3:FY"/>
                <xsd:element ref="ns2:Program_x0020_Areas" minOccurs="0"/>
                <xsd:element ref="ns2:District_x0020_Office"/>
                <xsd:element ref="ns4:Security_x0020_Classification_x0020_Codes"/>
                <xsd:element ref="ns2:Show_x0020_in_x0020_Web_x0020_Part" minOccurs="0"/>
                <xsd:element ref="ns2:Web_x0020_Part_x0020_Sort_x0020_Order"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d1b7c-49b7-4b2e-a75e-0144460d42f7" elementFormDefault="qualified">
    <xsd:import namespace="http://schemas.microsoft.com/office/2006/documentManagement/types"/>
    <xsd:import namespace="http://schemas.microsoft.com/office/infopath/2007/PartnerControls"/>
    <xsd:element name="Document_x0020_Description" ma:index="2" nillable="true" ma:displayName="Document Description" ma:internalName="Document_x0020_Description">
      <xsd:simpleType>
        <xsd:restriction base="dms:Note"/>
      </xsd:simpleType>
    </xsd:element>
    <xsd:element name="ODF_x0020_Category" ma:index="3" ma:displayName="Category" ma:description="NEVER change this column at the Site Collection level (SharePoint administrator). E-V-E-R!!!" ma:format="Dropdown" ma:internalName="ODF_x0020_Category">
      <xsd:simpleType>
        <xsd:restriction base="dms:Choice">
          <xsd:enumeration value="State Forests Budgets"/>
          <xsd:enumeration value="Expenditures/Transfers/Revenue"/>
          <xsd:enumeration value="Revenue Projections"/>
          <xsd:enumeration value="Volume and Value"/>
          <xsd:enumeration value="Misc"/>
        </xsd:restriction>
      </xsd:simpleType>
    </xsd:element>
    <xsd:element name="Program_x0020_Areas" ma:index="5" nillable="true" ma:displayName="Program Areas" ma:format="Dropdown" ma:internalName="Program_x0020_Areas">
      <xsd:simpleType>
        <xsd:restriction base="dms:Choice">
          <xsd:enumeration value="Not Applicable"/>
          <xsd:enumeration value="Agency Wide"/>
          <xsd:enumeration value="Executive Admin"/>
          <xsd:enumeration value="State Forests"/>
          <xsd:enumeration value="Private Forests"/>
          <xsd:enumeration value="Protection"/>
          <xsd:enumeration value="Human Resources"/>
          <xsd:enumeration value="Audit &amp; QA"/>
          <xsd:enumeration value="Business Services"/>
          <xsd:enumeration value="Information Technology"/>
          <xsd:enumeration value="Partnership Development"/>
          <xsd:enumeration value="Public Affairs"/>
          <xsd:enumeration value="Forest Resources Planning"/>
        </xsd:restriction>
      </xsd:simpleType>
    </xsd:element>
    <xsd:element name="District_x0020_Office" ma:index="6" ma:displayName="District Office" ma:format="Dropdown" ma:internalName="District_x0020_Office">
      <xsd:simpleType>
        <xsd:restriction base="dms:Choice">
          <xsd:enumeration value="Not Applicable"/>
          <xsd:enumeration value="All"/>
          <xsd:enumeration value="Astoria District"/>
          <xsd:enumeration value="Central Oregon District"/>
          <xsd:enumeration value="Coos District"/>
          <xsd:enumeration value="Coos Forest Protective Association (CFPA)"/>
          <xsd:enumeration value="Douglas District"/>
          <xsd:enumeration value="Douglas Forest Protective Association (DFPA)"/>
          <xsd:enumeration value="Forest Grove District"/>
          <xsd:enumeration value="JE Schroeder Seed Orchard"/>
          <xsd:enumeration value="Klamath/Lake District Office"/>
          <xsd:enumeration value="North Cascade District"/>
          <xsd:enumeration value="Northeast Oregon District Office"/>
          <xsd:enumeration value="Salem"/>
          <xsd:enumeration value="South Cascade District"/>
          <xsd:enumeration value="South Fork Camp"/>
          <xsd:enumeration value="Southwest Oregon District"/>
          <xsd:enumeration value="Tillamook District"/>
          <xsd:enumeration value="Tillamook Forest Center"/>
          <xsd:enumeration value="Walker Range Patrol Association"/>
          <xsd:enumeration value="West Lane District"/>
          <xsd:enumeration value="West Oregon District - Philomath"/>
        </xsd:restriction>
      </xsd:simpleType>
    </xsd:element>
    <xsd:element name="Show_x0020_in_x0020_Web_x0020_Part" ma:index="8" nillable="true" ma:displayName="Show in Web Part" ma:default="0" ma:internalName="Show_x0020_in_x0020_Web_x0020_Part">
      <xsd:simpleType>
        <xsd:restriction base="dms:Boolean"/>
      </xsd:simpleType>
    </xsd:element>
    <xsd:element name="Web_x0020_Part_x0020_Sort_x0020_Order" ma:index="9" nillable="true" ma:displayName="Web Part Sort Order" ma:decimals="0" ma:default="" ma:internalName="Web_x0020_Part_x0020_Sort_x0020_Order" ma:percentage="FALSE">
      <xsd:simpleType>
        <xsd:restriction base="dms:Number">
          <xsd:maxInclusive value="50"/>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a7f6e110-b6b7-498b-b885-b4758e086be1" elementFormDefault="qualified">
    <xsd:import namespace="http://schemas.microsoft.com/office/2006/documentManagement/types"/>
    <xsd:import namespace="http://schemas.microsoft.com/office/infopath/2007/PartnerControls"/>
    <xsd:element name="FY" ma:index="4" ma:displayName="FY" ma:default="Not Applicable" ma:format="Dropdown" ma:internalName="FY">
      <xsd:simpleType>
        <xsd:restriction base="dms:Choice">
          <xsd:enumeration value="Not Applicable"/>
          <xsd:enumeration value="Multipl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c52b83c4-1812-43d0-a956-0d29ee2b6db3" elementFormDefault="qualified">
    <xsd:import namespace="http://schemas.microsoft.com/office/2006/documentManagement/types"/>
    <xsd:import namespace="http://schemas.microsoft.com/office/infopath/2007/PartnerControls"/>
    <xsd:element name="Security_x0020_Classification_x0020_Codes" ma:index="7" ma:displayName="Security Classification Codes" ma:default="Level 1 &quot;Published&quot;" ma:format="Dropdown" ma:internalName="Security_x0020_Classification_x0020_Codes">
      <xsd:simpleType>
        <xsd:restriction base="dms:Choice">
          <xsd:enumeration value="Level 1 &quot;Published&quot;"/>
          <xsd:enumeration value="Level 2 &quot;Limited&quot;"/>
          <xsd:enumeration value="Level 3 &quot;Restricted&quot;"/>
          <xsd:enumeration value="Level 4 &quot;Critical&quot;"/>
        </xsd:restriction>
      </xsd:simpleType>
    </xsd:element>
  </xsd:schema>
  <xsd:schema xmlns:xsd="http://www.w3.org/2001/XMLSchema" xmlns:xs="http://www.w3.org/2001/XMLSchema" xmlns:dms="http://schemas.microsoft.com/office/2006/documentManagement/types" xmlns:pc="http://schemas.microsoft.com/office/infopath/2007/PartnerControls" targetNamespace="0dd2282d-73dd-4702-9411-3a19115ab96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istrict_x0020_Office xmlns="658d1b7c-49b7-4b2e-a75e-0144460d42f7">All</District_x0020_Office>
    <Security_x0020_Classification_x0020_Codes xmlns="c52b83c4-1812-43d0-a956-0d29ee2b6db3">Level 1 "Published"</Security_x0020_Classification_x0020_Codes>
    <ODF_x0020_Category xmlns="658d1b7c-49b7-4b2e-a75e-0144460d42f7">Volume and Value</ODF_x0020_Category>
    <FY xmlns="a7f6e110-b6b7-498b-b885-b4758e086be1">Multiple</FY>
    <Web_x0020_Part_x0020_Sort_x0020_Order xmlns="658d1b7c-49b7-4b2e-a75e-0144460d42f7" xsi:nil="true"/>
    <Program_x0020_Areas xmlns="658d1b7c-49b7-4b2e-a75e-0144460d42f7">State Forests</Program_x0020_Areas>
    <Show_x0020_in_x0020_Web_x0020_Part xmlns="658d1b7c-49b7-4b2e-a75e-0144460d42f7">false</Show_x0020_in_x0020_Web_x0020_Part>
    <Document_x0020_Description xmlns="658d1b7c-49b7-4b2e-a75e-0144460d42f7">This report is updated &lt;strong&gt;ANNUALLY&lt;/strong&gt;.  It summarizes historical harvested volume and value all the way back to 1949 to current.  By County, District and est. State Forest.  
</Document_x0020_Description>
  </documentManagement>
</p:properties>
</file>

<file path=customXml/itemProps1.xml><?xml version="1.0" encoding="utf-8"?>
<ds:datastoreItem xmlns:ds="http://schemas.openxmlformats.org/officeDocument/2006/customXml" ds:itemID="{1EE0F66C-4A7C-4175-8649-E5A9FDDB68CC}">
  <ds:schemaRefs>
    <ds:schemaRef ds:uri="http://schemas.microsoft.com/sharepoint/events"/>
  </ds:schemaRefs>
</ds:datastoreItem>
</file>

<file path=customXml/itemProps2.xml><?xml version="1.0" encoding="utf-8"?>
<ds:datastoreItem xmlns:ds="http://schemas.openxmlformats.org/officeDocument/2006/customXml" ds:itemID="{46B90FFD-2568-458F-B5B7-B04C9DAD3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d1b7c-49b7-4b2e-a75e-0144460d42f7"/>
    <ds:schemaRef ds:uri="a7f6e110-b6b7-498b-b885-b4758e086be1"/>
    <ds:schemaRef ds:uri="c52b83c4-1812-43d0-a956-0d29ee2b6db3"/>
    <ds:schemaRef ds:uri="0dd2282d-73dd-4702-9411-3a19115ab9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4DE01C-75E1-4C62-A04B-CE87F505212C}">
  <ds:schemaRefs>
    <ds:schemaRef ds:uri="http://schemas.microsoft.com/office/2006/metadata/longProperties"/>
  </ds:schemaRefs>
</ds:datastoreItem>
</file>

<file path=customXml/itemProps4.xml><?xml version="1.0" encoding="utf-8"?>
<ds:datastoreItem xmlns:ds="http://schemas.openxmlformats.org/officeDocument/2006/customXml" ds:itemID="{BAE261A3-7448-4A1F-88A0-692FE0BFEF4B}">
  <ds:schemaRefs>
    <ds:schemaRef ds:uri="http://schemas.microsoft.com/sharepoint/v3/contenttype/forms"/>
  </ds:schemaRefs>
</ds:datastoreItem>
</file>

<file path=customXml/itemProps5.xml><?xml version="1.0" encoding="utf-8"?>
<ds:datastoreItem xmlns:ds="http://schemas.openxmlformats.org/officeDocument/2006/customXml" ds:itemID="{706522D8-F547-4122-8E3C-689F35837A66}">
  <ds:schemaRefs>
    <ds:schemaRef ds:uri="658d1b7c-49b7-4b2e-a75e-0144460d42f7"/>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a7f6e110-b6b7-498b-b885-b4758e086be1"/>
    <ds:schemaRef ds:uri="0dd2282d-73dd-4702-9411-3a19115ab963"/>
    <ds:schemaRef ds:uri="c52b83c4-1812-43d0-a956-0d29ee2b6db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5</vt:i4>
      </vt:variant>
      <vt:variant>
        <vt:lpstr>Named Ranges</vt:lpstr>
      </vt:variant>
      <vt:variant>
        <vt:i4>10</vt:i4>
      </vt:variant>
    </vt:vector>
  </HeadingPairs>
  <TitlesOfParts>
    <vt:vector size="29" baseType="lpstr">
      <vt:lpstr>Index &amp; Instructions</vt:lpstr>
      <vt:lpstr>TAB1.0 Accomplshmnt by District</vt:lpstr>
      <vt:lpstr>1.1_Annual Harv by FUND</vt:lpstr>
      <vt:lpstr>1.2 Pivots &amp; Graphs</vt:lpstr>
      <vt:lpstr>1.5_CSL_VolVal</vt:lpstr>
      <vt:lpstr>1.6_CSL Elliott VolVal_Charts</vt:lpstr>
      <vt:lpstr>1.7_District Pivots</vt:lpstr>
      <vt:lpstr>TAB2.0 Accomplishment Graphs</vt:lpstr>
      <vt:lpstr>2.1 PIVOT</vt:lpstr>
      <vt:lpstr>TAB3.0 VOL Historical by County</vt:lpstr>
      <vt:lpstr>3.2_STATE FOREST HARV Piv Tbl</vt:lpstr>
      <vt:lpstr>TAB4.0 VolVal Hist_ByCounty</vt:lpstr>
      <vt:lpstr>BiBudgetFTE</vt:lpstr>
      <vt:lpstr>TRAS_Codes</vt:lpstr>
      <vt:lpstr>1.3 Harvest Volume Graph</vt:lpstr>
      <vt:lpstr>1.4_Value Removed Graph</vt:lpstr>
      <vt:lpstr>2.2_GRAPH_STWIDE BOF</vt:lpstr>
      <vt:lpstr>2.3_GRAPH_STWIDE CSL</vt:lpstr>
      <vt:lpstr>3.1_NWOA Cnty Graph</vt:lpstr>
      <vt:lpstr>'1.5_CSL_VolVal'!Print_Area</vt:lpstr>
      <vt:lpstr>'1.7_District Pivots'!Print_Area</vt:lpstr>
      <vt:lpstr>'Index &amp; Instructions'!Print_Area</vt:lpstr>
      <vt:lpstr>'TAB1.0 Accomplshmnt by District'!Print_Area</vt:lpstr>
      <vt:lpstr>'TAB2.0 Accomplishment Graphs'!Print_Area</vt:lpstr>
      <vt:lpstr>'TAB3.0 VOL Historical by County'!Print_Area</vt:lpstr>
      <vt:lpstr>'TAB4.0 VolVal Hist_ByCounty'!Print_Area</vt:lpstr>
      <vt:lpstr>'TAB1.0 Accomplshmnt by District'!Print_Titles</vt:lpstr>
      <vt:lpstr>'TAB3.0 VOL Historical by County'!Print_Titles</vt:lpstr>
      <vt:lpstr>'TAB4.0 VolVal Hist_ByCounty'!Print_Titles</vt:lpstr>
    </vt:vector>
  </TitlesOfParts>
  <Company>ODF2003ProV1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Harvest Volume and Value History 1949 to Current</dc:title>
  <dc:creator>jtenny</dc:creator>
  <cp:lastModifiedBy>eloewen</cp:lastModifiedBy>
  <cp:lastPrinted>2015-10-08T14:03:30Z</cp:lastPrinted>
  <dcterms:created xsi:type="dcterms:W3CDTF">2008-11-14T01:04:15Z</dcterms:created>
  <dcterms:modified xsi:type="dcterms:W3CDTF">2016-01-14T23:08:43Z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RX5PSX645DY2-1404-54</vt:lpwstr>
  </property>
  <property fmtid="{D5CDD505-2E9C-101B-9397-08002B2CF9AE}" pid="4" name="_dlc_DocIdItemGuid">
    <vt:lpwstr>40b450ea-4e3d-4929-8e0e-c0abdb967da5</vt:lpwstr>
  </property>
  <property fmtid="{D5CDD505-2E9C-101B-9397-08002B2CF9AE}" pid="5" name="_dlc_DocIdUrl">
    <vt:lpwstr>http://wpodfappl02/SF/ProgramMgmt/_layouts/DocIdRedir.aspx?ID=RX5PSX645DY2-1404-54, RX5PSX645DY2-1404-54</vt:lpwstr>
  </property>
  <property fmtid="{D5CDD505-2E9C-101B-9397-08002B2CF9AE}" pid="6" name="ContentTypeId">
    <vt:lpwstr>0x01010020CBB58CB5252549B50792C1AC597550</vt:lpwstr>
  </property>
</Properties>
</file>